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60" yWindow="65336" windowWidth="26680" windowHeight="22920" tabRatio="500" activeTab="1"/>
  </bookViews>
  <sheets>
    <sheet name="Instructions" sheetId="1" r:id="rId1"/>
    <sheet name="Mash" sheetId="2" r:id="rId2"/>
    <sheet name="Scratch" sheetId="3" state="hidden" r:id="rId3"/>
    <sheet name="Sheet1" sheetId="4" r:id="rId4"/>
  </sheets>
  <externalReferences>
    <externalReference r:id="rId7"/>
  </externalReferences>
  <definedNames>
    <definedName name="acid">'[1]Sheet2'!$I$6:$I$8</definedName>
    <definedName name="Acid_List">'Scratch'!$I$6:$I$8</definedName>
    <definedName name="CaCO3">'Scratch'!$J$3:$J$4</definedName>
    <definedName name="Carbo">'Scratch'!$J$7:$J$8</definedName>
    <definedName name="RA">#REF!</definedName>
    <definedName name="srm_hi">#REF!</definedName>
    <definedName name="srm_lo">#REF!</definedName>
  </definedNames>
  <calcPr fullCalcOnLoad="1"/>
</workbook>
</file>

<file path=xl/comments2.xml><?xml version="1.0" encoding="utf-8"?>
<comments xmlns="http://schemas.openxmlformats.org/spreadsheetml/2006/main">
  <authors>
    <author>3M</author>
    <author>The Palmers</author>
    <author>John Palmer</author>
  </authors>
  <commentList>
    <comment ref="B14" authorId="0">
      <text>
        <r>
          <rPr>
            <b/>
            <sz val="9"/>
            <rFont val="Arial"/>
            <family val="0"/>
          </rPr>
          <t>Source Water:</t>
        </r>
        <r>
          <rPr>
            <sz val="9"/>
            <rFont val="Arial"/>
            <family val="0"/>
          </rPr>
          <t xml:space="preserve">
Input the mineral profile for your brewing source water. The residual alkalinity and estimated beer color range will be calculated.</t>
        </r>
      </text>
    </comment>
    <comment ref="B22" authorId="0">
      <text>
        <r>
          <rPr>
            <b/>
            <sz val="9"/>
            <rFont val="Tahoma"/>
            <family val="0"/>
          </rPr>
          <t>Target Residual Alkalinity:</t>
        </r>
        <r>
          <rPr>
            <sz val="9"/>
            <rFont val="Tahoma"/>
            <family val="0"/>
          </rPr>
          <t xml:space="preserve">
Enter the RA corresponding to the color of the beer you would like to target here. See Nomograph for colors. The boxes at right will display the additional Hardness or Alkalinity necessary to achieve it. </t>
        </r>
      </text>
    </comment>
    <comment ref="B26" authorId="0">
      <text>
        <r>
          <rPr>
            <b/>
            <sz val="9"/>
            <rFont val="Arial"/>
            <family val="0"/>
          </rPr>
          <t>Salt Additions:</t>
        </r>
        <r>
          <rPr>
            <sz val="9"/>
            <rFont val="Arial"/>
            <family val="0"/>
          </rPr>
          <t xml:space="preserve">
To achieve a target mash pH or to enhance the flavor of a beer, enter the additions of each salt here in grams.</t>
        </r>
      </text>
    </comment>
    <comment ref="C22" authorId="0">
      <text>
        <r>
          <rPr>
            <b/>
            <sz val="9"/>
            <rFont val="Arial"/>
            <family val="0"/>
          </rPr>
          <t>Water Volume:</t>
        </r>
        <r>
          <rPr>
            <sz val="9"/>
            <rFont val="Arial"/>
            <family val="0"/>
          </rPr>
          <t xml:space="preserve">
You need to consider the mash water and sparge water seperately. Some salts will dissolve into the brewing water, like gypsum, but CaCO3 will not dissolve except in the mash, so any CaCO3 additions should be calculated separately using just the mash water volume.</t>
        </r>
      </text>
    </comment>
    <comment ref="B29" authorId="0">
      <text>
        <r>
          <rPr>
            <b/>
            <sz val="9"/>
            <rFont val="Arial"/>
            <family val="0"/>
          </rPr>
          <t>Ion Contributions:</t>
        </r>
        <r>
          <rPr>
            <sz val="9"/>
            <rFont val="Arial"/>
            <family val="0"/>
          </rPr>
          <t xml:space="preserve">
The ion contributions per gallon for the salt additions you input above are calculated here. The Contributed Hardness and Alkalinity boxes at right can be checked to see when you have added enough (re. the Needed boxes above).</t>
        </r>
      </text>
    </comment>
    <comment ref="C44" authorId="1">
      <text>
        <r>
          <rPr>
            <b/>
            <sz val="9"/>
            <rFont val="Verdana"/>
            <family val="0"/>
          </rPr>
          <t>Target Sparge water pH:</t>
        </r>
        <r>
          <rPr>
            <sz val="9"/>
            <rFont val="Verdana"/>
            <family val="0"/>
          </rPr>
          <t xml:space="preserve">
I recommend keeping this at 7 or 6; it doesn't need to be lower.</t>
        </r>
      </text>
    </comment>
    <comment ref="C47" authorId="1">
      <text>
        <r>
          <rPr>
            <b/>
            <sz val="9"/>
            <rFont val="Verdana"/>
            <family val="0"/>
          </rPr>
          <t>Hydrochloric w/w%:</t>
        </r>
        <r>
          <rPr>
            <sz val="9"/>
            <rFont val="Verdana"/>
            <family val="0"/>
          </rPr>
          <t xml:space="preserve">
You can input the bottle concentration here.</t>
        </r>
      </text>
    </comment>
    <comment ref="C48" authorId="1">
      <text>
        <r>
          <rPr>
            <b/>
            <sz val="9"/>
            <rFont val="Verdana"/>
            <family val="0"/>
          </rPr>
          <t>Lactic w/w%:</t>
        </r>
        <r>
          <rPr>
            <sz val="9"/>
            <rFont val="Verdana"/>
            <family val="0"/>
          </rPr>
          <t xml:space="preserve">
typically 80- 88%.</t>
        </r>
      </text>
    </comment>
    <comment ref="B7" authorId="1">
      <text>
        <r>
          <rPr>
            <b/>
            <sz val="9"/>
            <rFont val="Verdana"/>
            <family val="0"/>
          </rPr>
          <t>Target RA Estimator:</t>
        </r>
        <r>
          <rPr>
            <sz val="9"/>
            <rFont val="Verdana"/>
            <family val="0"/>
          </rPr>
          <t xml:space="preserve">
Enter the color of the beer that you would like to brew. A range of suitable RA will be calculated. Use the High end if the beer contains a lot of roasted malt, and the low end if the color comes from Crystal or toasted malts.</t>
        </r>
      </text>
    </comment>
    <comment ref="B10" authorId="0">
      <text>
        <r>
          <rPr>
            <b/>
            <sz val="9"/>
            <rFont val="Arial"/>
            <family val="0"/>
          </rPr>
          <t>Target Water Profile:</t>
        </r>
        <r>
          <rPr>
            <sz val="9"/>
            <rFont val="Arial"/>
            <family val="0"/>
          </rPr>
          <t xml:space="preserve">
Input the mineral profile for a brewing city you are trying to copy. The residual alkalinity for the profile will be calculated. A range of suggested beer color appropriate to this RA is also calculated.</t>
        </r>
      </text>
    </comment>
    <comment ref="B18" authorId="0">
      <text>
        <r>
          <rPr>
            <b/>
            <sz val="9"/>
            <rFont val="Arial"/>
            <family val="0"/>
          </rPr>
          <t>Dilute with Distilled Water:</t>
        </r>
        <r>
          <rPr>
            <sz val="9"/>
            <rFont val="Arial"/>
            <family val="0"/>
          </rPr>
          <t xml:space="preserve">
Example: 10% dilution would be 1 part distilled to 9 parts tap water.</t>
        </r>
      </text>
    </comment>
    <comment ref="B43" authorId="1">
      <text>
        <r>
          <rPr>
            <b/>
            <sz val="9"/>
            <rFont val="Verdana"/>
            <family val="0"/>
          </rPr>
          <t>Measure Water pH:</t>
        </r>
        <r>
          <rPr>
            <sz val="9"/>
            <rFont val="Verdana"/>
            <family val="0"/>
          </rPr>
          <t xml:space="preserve">
You MUST measure the pH of the water you want to adjust.</t>
        </r>
      </text>
    </comment>
    <comment ref="B1" authorId="2">
      <text>
        <r>
          <rPr>
            <b/>
            <sz val="8"/>
            <rFont val="Tahoma"/>
            <family val="0"/>
          </rPr>
          <t>John Palmer:</t>
        </r>
        <r>
          <rPr>
            <sz val="8"/>
            <rFont val="Tahoma"/>
            <family val="0"/>
          </rPr>
          <t xml:space="preserve">
Changes from V1: Version 1 contained an error where final Residual Alkalinity was not calculated correctly if "Bicarbonate" was selected. Other conversion errors were corrected as well. My apologies. - John Palmer 04/03/08
2.1: Danny Williams found an error in the dilution contribution.
04/07/2008
2.2: Soren Tygesen found an error in Step 8. 
2.3 Fixed address error in cell L11. Added condtional formating to RA results cells if RA exceeds 300ppm.
2.4: Added Chloride to Sulfate Ratio to indicate flavor balance.
2.5: Added NaCl and got more accurate with added ppm of ions.
3.0: Corrected the contributed alkalinity from chalk additions. The current equation has been verified by Dr. Mark Benjamin of Univ of Washington. Revised Chloride to Sulfate ratio to Sulfate to Chloride and adjusted flavor ranges based on user data.</t>
        </r>
      </text>
    </comment>
    <comment ref="E10" authorId="2">
      <text>
        <r>
          <rPr>
            <b/>
            <sz val="8"/>
            <rFont val="Tahoma"/>
            <family val="0"/>
          </rPr>
          <t xml:space="preserve">Click to Select: </t>
        </r>
        <r>
          <rPr>
            <sz val="8"/>
            <rFont val="Tahoma"/>
            <family val="0"/>
          </rPr>
          <t>Alkalinity as CaCO3 or Bicarbonate</t>
        </r>
        <r>
          <rPr>
            <sz val="8"/>
            <rFont val="Tahoma"/>
            <family val="0"/>
          </rPr>
          <t xml:space="preserve">
</t>
        </r>
      </text>
    </comment>
    <comment ref="C33" authorId="2">
      <text>
        <r>
          <rPr>
            <b/>
            <sz val="8"/>
            <rFont val="Tahoma"/>
            <family val="0"/>
          </rPr>
          <t>Concentration:</t>
        </r>
        <r>
          <rPr>
            <sz val="8"/>
            <rFont val="Tahoma"/>
            <family val="0"/>
          </rPr>
          <t xml:space="preserve">
You can adjust the concentration of the acids here.</t>
        </r>
      </text>
    </comment>
  </commentList>
</comments>
</file>

<file path=xl/sharedStrings.xml><?xml version="1.0" encoding="utf-8"?>
<sst xmlns="http://schemas.openxmlformats.org/spreadsheetml/2006/main" count="174" uniqueCount="126">
  <si>
    <t>Total Contributed Alkalinity as CaCO3</t>
  </si>
  <si>
    <t>Total Contributed Hardness as CaCO3</t>
  </si>
  <si>
    <t>Effective Hardness as CaCO3</t>
  </si>
  <si>
    <t>Sulfate to Chloride Ratio</t>
  </si>
  <si>
    <t>Mash Residual Alkalinity Adjustment Worksheet Version 3.0 (US Units)</t>
  </si>
  <si>
    <t>Sulfate to Chloride Balance</t>
  </si>
  <si>
    <t>Quite Bitter</t>
  </si>
  <si>
    <t>Too Bitter</t>
  </si>
  <si>
    <t>Very Bitter</t>
  </si>
  <si>
    <t>More Bitter</t>
  </si>
  <si>
    <t>Extra Bitter</t>
  </si>
  <si>
    <t>Too Malty</t>
  </si>
  <si>
    <t>Very Malty</t>
  </si>
  <si>
    <t>Malty</t>
  </si>
  <si>
    <t>Balanced</t>
  </si>
  <si>
    <t>Little Bitter</t>
  </si>
  <si>
    <t>Mash Residual Alkalinity Adjustment Worksheet Version 3.0 (US Units)</t>
  </si>
  <si>
    <t>Dilution Rate</t>
  </si>
  <si>
    <t>OR</t>
  </si>
  <si>
    <t xml:space="preserve">Units are grams, gallons, and milliliters. </t>
  </si>
  <si>
    <t>Acid Adjustment</t>
  </si>
  <si>
    <t>Hydrochloric</t>
  </si>
  <si>
    <t>Lactic</t>
  </si>
  <si>
    <t>Sparge Water Volume (gal)</t>
  </si>
  <si>
    <t>User Input</t>
  </si>
  <si>
    <t>Calc. Output</t>
  </si>
  <si>
    <t>Mash Water Volume (gal)</t>
  </si>
  <si>
    <t>Mash Water Addition (ml)</t>
  </si>
  <si>
    <t>Target Residual Alkalinity</t>
  </si>
  <si>
    <t>Additional Eff. Hardness Needed</t>
  </si>
  <si>
    <t>H2CO3</t>
  </si>
  <si>
    <t>HCO3-</t>
  </si>
  <si>
    <t>CO3--</t>
  </si>
  <si>
    <t>ph</t>
  </si>
  <si>
    <t>r1</t>
  </si>
  <si>
    <t>r2</t>
  </si>
  <si>
    <t>d</t>
  </si>
  <si>
    <t>f1</t>
  </si>
  <si>
    <t>f2</t>
  </si>
  <si>
    <t>f3</t>
  </si>
  <si>
    <t>ct</t>
  </si>
  <si>
    <t>lactic</t>
  </si>
  <si>
    <t>ppm as CaCO3</t>
  </si>
  <si>
    <t>phosphoric</t>
  </si>
  <si>
    <t>Bicarbonate (ppm)</t>
  </si>
  <si>
    <t>hydrochloric</t>
  </si>
  <si>
    <t>mEq/L</t>
  </si>
  <si>
    <t>Calculated values</t>
  </si>
  <si>
    <t>Total Alkalinity</t>
  </si>
  <si>
    <t xml:space="preserve">    converted to mEq/L</t>
  </si>
  <si>
    <t>Carbo system at pH =</t>
  </si>
  <si>
    <t>acid</t>
  </si>
  <si>
    <t>pk1</t>
  </si>
  <si>
    <t>pk2</t>
  </si>
  <si>
    <t>pk3</t>
  </si>
  <si>
    <t>pH</t>
  </si>
  <si>
    <t>r1d</t>
  </si>
  <si>
    <t>r2d</t>
  </si>
  <si>
    <t>r3d</t>
  </si>
  <si>
    <t>dd</t>
  </si>
  <si>
    <t>f1d</t>
  </si>
  <si>
    <t>f2d</t>
  </si>
  <si>
    <t>f3d</t>
  </si>
  <si>
    <t>f4d</t>
  </si>
  <si>
    <r>
      <t>% of Carbo as HCO</t>
    </r>
    <r>
      <rPr>
        <vertAlign val="subscript"/>
        <sz val="10"/>
        <rFont val="Arial"/>
        <family val="2"/>
      </rPr>
      <t>3</t>
    </r>
    <r>
      <rPr>
        <vertAlign val="superscript"/>
        <sz val="10"/>
        <rFont val="Arial"/>
        <family val="0"/>
      </rPr>
      <t>-</t>
    </r>
  </si>
  <si>
    <r>
      <t>% of Carbo as CO</t>
    </r>
    <r>
      <rPr>
        <vertAlign val="subscript"/>
        <sz val="10"/>
        <rFont val="Arial"/>
        <family val="2"/>
      </rPr>
      <t>3</t>
    </r>
    <r>
      <rPr>
        <vertAlign val="superscript"/>
        <sz val="10"/>
        <rFont val="Arial"/>
        <family val="0"/>
      </rPr>
      <t>--</t>
    </r>
  </si>
  <si>
    <t>HCO3 ppm (if pH&lt;8.4)</t>
  </si>
  <si>
    <t>Water pH</t>
  </si>
  <si>
    <t>Bottle Conc.</t>
  </si>
  <si>
    <t>Est. Acid-Only Mash Addition (ml)</t>
  </si>
  <si>
    <t>frac/ H ions</t>
  </si>
  <si>
    <t>mEq/l</t>
  </si>
  <si>
    <t>sulfuric</t>
  </si>
  <si>
    <t>modified from Tom M's Acid Addition Calculation Sheet (palmer 10/2006)</t>
  </si>
  <si>
    <t>Source Water</t>
  </si>
  <si>
    <t>Calcium (ppm)</t>
  </si>
  <si>
    <t>Magnesium (ppm)</t>
  </si>
  <si>
    <t>Alkalinity as CaCO3</t>
  </si>
  <si>
    <t>Sodium (ppm)</t>
  </si>
  <si>
    <t>Canning Salt  NaCl</t>
  </si>
  <si>
    <t>Chloride (ppm)</t>
  </si>
  <si>
    <t>Sulfate (ppm)</t>
  </si>
  <si>
    <t>Residual Alkalinity as CaCO3</t>
  </si>
  <si>
    <t>Contributed Alkalinity from HCO3</t>
  </si>
  <si>
    <t>Contributed Alkalinity from CaCO3</t>
  </si>
  <si>
    <t>(ppm)</t>
  </si>
  <si>
    <t>Target Water</t>
  </si>
  <si>
    <t>Additional Alkalinity Needed</t>
  </si>
  <si>
    <t>Salt Additions</t>
  </si>
  <si>
    <t>Chalk       CaCO3</t>
  </si>
  <si>
    <t>Gypsum  CaSO4 *2H2O</t>
  </si>
  <si>
    <t>Calcium Chloride  CaCl2*2H2O</t>
  </si>
  <si>
    <t>Epsom Salt  MgSO4 *7H2O</t>
  </si>
  <si>
    <t>Baking Soda  NaHCO3</t>
  </si>
  <si>
    <t>Salt Contributions</t>
  </si>
  <si>
    <t>Adjusted Mash</t>
  </si>
  <si>
    <t>Adjusted mEq Acid</t>
  </si>
  <si>
    <r>
      <t>% of Carbo as H</t>
    </r>
    <r>
      <rPr>
        <vertAlign val="subscript"/>
        <sz val="10"/>
        <rFont val="Arial"/>
        <family val="2"/>
      </rPr>
      <t>2</t>
    </r>
    <r>
      <rPr>
        <sz val="10"/>
        <rFont val="Verdana"/>
        <family val="0"/>
      </rPr>
      <t>CO</t>
    </r>
    <r>
      <rPr>
        <vertAlign val="subscript"/>
        <sz val="10"/>
        <rFont val="Arial"/>
        <family val="2"/>
      </rPr>
      <t>3</t>
    </r>
  </si>
  <si>
    <t>Carbonate Ratio at (_) pH</t>
  </si>
  <si>
    <t>Adjusted Total Alk</t>
  </si>
  <si>
    <t>E (rough)</t>
  </si>
  <si>
    <t>Est. Sparge Water Addition (ml)</t>
  </si>
  <si>
    <t>Est. SRM (Low)</t>
  </si>
  <si>
    <t>Target Color (SRM)</t>
  </si>
  <si>
    <t>Target RA Est. SRM (Low)</t>
  </si>
  <si>
    <t>by John Palmer All Rights Reserved 2008</t>
  </si>
  <si>
    <r>
      <t>Step 5: Optional:</t>
    </r>
    <r>
      <rPr>
        <sz val="9"/>
        <rFont val="Arial Bold"/>
        <family val="0"/>
      </rPr>
      <t xml:space="preserve"> Add salts to Mash Water. (Enter Zeros if not adding salt.)</t>
    </r>
  </si>
  <si>
    <t>Ratio</t>
  </si>
  <si>
    <t>Balance</t>
  </si>
  <si>
    <r>
      <t>Step 6: Optional:</t>
    </r>
    <r>
      <rPr>
        <sz val="9"/>
        <rFont val="Arial Bold"/>
        <family val="0"/>
      </rPr>
      <t xml:space="preserve"> Add Acid to Mash Water. (Enter Zero if not adding acid.)</t>
    </r>
  </si>
  <si>
    <t>Volume of Source Water (gal.)</t>
  </si>
  <si>
    <t>Volume of Distilled Water (gal.)</t>
  </si>
  <si>
    <r>
      <t>Step 1:</t>
    </r>
    <r>
      <rPr>
        <sz val="9"/>
        <rFont val="Arial Bold"/>
        <family val="0"/>
      </rPr>
      <t xml:space="preserve"> Enter Target Beer Color to see range of suggested Residual Alkalinity, Or Enter a Target Water Profile to see its calculated Residual Alkalinity value and a range of suggested Beer Color. (Choose either "Bicarbonate" or "Total Alkalinity" in E10 and enter the appropriate value in E11.)</t>
    </r>
  </si>
  <si>
    <r>
      <t>Step 2:</t>
    </r>
    <r>
      <rPr>
        <sz val="9"/>
        <rFont val="Arial Bold"/>
        <family val="0"/>
      </rPr>
      <t xml:space="preserve"> Enter Source Water Profile. (Choose "Bicarbonate" or "Alkalinity" in E14.)</t>
    </r>
  </si>
  <si>
    <r>
      <t>Step 4:</t>
    </r>
    <r>
      <rPr>
        <sz val="9"/>
        <rFont val="Arial Bold"/>
        <family val="0"/>
      </rPr>
      <t xml:space="preserve"> Enter a Target Residual Alkalinity Value, based on Step 1, and the total volume of mash water.</t>
    </r>
  </si>
  <si>
    <r>
      <t>Step 3: Optional:</t>
    </r>
    <r>
      <rPr>
        <sz val="9"/>
        <rFont val="Arial Bold"/>
        <family val="0"/>
      </rPr>
      <t xml:space="preserve"> Dilute Source Water with Distilled Water (Enter Zero if not diluting.) </t>
    </r>
  </si>
  <si>
    <r>
      <t>Step 7: Result:</t>
    </r>
    <r>
      <rPr>
        <sz val="9"/>
        <rFont val="Arial Bold"/>
        <family val="0"/>
      </rPr>
      <t xml:space="preserve"> Adjusted Mash Chemistry and Final Residual Alkalinity and Beer Color Range</t>
    </r>
  </si>
  <si>
    <r>
      <t>Step 8: Optional:</t>
    </r>
    <r>
      <rPr>
        <sz val="9"/>
        <rFont val="Arial Bold"/>
        <family val="0"/>
      </rPr>
      <t xml:space="preserve"> Sparge Water pH Adjustment</t>
    </r>
  </si>
  <si>
    <t>Target RA Est. SRM (High)</t>
  </si>
  <si>
    <t>Est. SRM (High)</t>
  </si>
  <si>
    <t>Est. RA (High)</t>
  </si>
  <si>
    <t>Est. RA (Low)</t>
  </si>
  <si>
    <t>Measure Sparge Water pH @ 20C</t>
  </si>
  <si>
    <t>Target Sparge Water pH @ 20C</t>
  </si>
  <si>
    <t>(grams)</t>
  </si>
  <si>
    <t>(Effective Hardness)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</si>
</sst>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General"/>
  </numFmts>
  <fonts count="32">
    <font>
      <sz val="10"/>
      <name val="Verdana"/>
      <family val="0"/>
    </font>
    <font>
      <b/>
      <sz val="10"/>
      <name val="Verdana"/>
      <family val="0"/>
    </font>
    <font>
      <i/>
      <sz val="10"/>
      <name val="Verdana"/>
      <family val="0"/>
    </font>
    <font>
      <b/>
      <i/>
      <sz val="10"/>
      <name val="Verdana"/>
      <family val="0"/>
    </font>
    <font>
      <sz val="9"/>
      <name val="Arial"/>
      <family val="2"/>
    </font>
    <font>
      <sz val="8"/>
      <name val="Verdana"/>
      <family val="0"/>
    </font>
    <font>
      <b/>
      <u val="single"/>
      <sz val="9"/>
      <name val="Arial"/>
      <family val="2"/>
    </font>
    <font>
      <b/>
      <sz val="9"/>
      <name val="Arial"/>
      <family val="2"/>
    </font>
    <font>
      <b/>
      <i/>
      <sz val="9"/>
      <name val="Arial"/>
      <family val="2"/>
    </font>
    <font>
      <i/>
      <sz val="9"/>
      <name val="Arial"/>
      <family val="2"/>
    </font>
    <font>
      <b/>
      <i/>
      <u val="single"/>
      <sz val="9"/>
      <name val="Arial"/>
      <family val="2"/>
    </font>
    <font>
      <b/>
      <sz val="9"/>
      <name val="Tahoma"/>
      <family val="0"/>
    </font>
    <font>
      <sz val="9"/>
      <name val="Tahoma"/>
      <family val="0"/>
    </font>
    <font>
      <sz val="9"/>
      <name val="Verdana"/>
      <family val="0"/>
    </font>
    <font>
      <b/>
      <sz val="9"/>
      <name val="Verdana"/>
      <family val="0"/>
    </font>
    <font>
      <b/>
      <i/>
      <sz val="12"/>
      <name val="Arial"/>
      <family val="2"/>
    </font>
    <font>
      <u val="single"/>
      <sz val="10"/>
      <name val="Arial"/>
      <family val="2"/>
    </font>
    <font>
      <vertAlign val="subscript"/>
      <sz val="10"/>
      <name val="Arial"/>
      <family val="2"/>
    </font>
    <font>
      <vertAlign val="superscript"/>
      <sz val="10"/>
      <name val="Arial"/>
      <family val="0"/>
    </font>
    <font>
      <sz val="10"/>
      <name val="Arial"/>
      <family val="2"/>
    </font>
    <font>
      <b/>
      <u val="single"/>
      <sz val="10"/>
      <name val="Arial"/>
      <family val="2"/>
    </font>
    <font>
      <b/>
      <u val="single"/>
      <sz val="12"/>
      <name val="Arial"/>
      <family val="0"/>
    </font>
    <font>
      <sz val="9"/>
      <name val="Arial Bold"/>
      <family val="0"/>
    </font>
    <font>
      <u val="single"/>
      <sz val="9"/>
      <name val="Arial Bold"/>
      <family val="0"/>
    </font>
    <font>
      <sz val="8"/>
      <name val="Tahoma"/>
      <family val="0"/>
    </font>
    <font>
      <b/>
      <sz val="8"/>
      <name val="Tahoma"/>
      <family val="0"/>
    </font>
    <font>
      <b/>
      <sz val="10"/>
      <color indexed="8"/>
      <name val="Arial"/>
      <family val="0"/>
    </font>
    <font>
      <sz val="10"/>
      <color indexed="8"/>
      <name val="Arial"/>
      <family val="0"/>
    </font>
    <font>
      <u val="single"/>
      <sz val="10"/>
      <color indexed="8"/>
      <name val="Arial"/>
      <family val="0"/>
    </font>
    <font>
      <u val="single"/>
      <sz val="10"/>
      <color indexed="12"/>
      <name val="Verdana"/>
      <family val="0"/>
    </font>
    <font>
      <u val="single"/>
      <sz val="10"/>
      <color indexed="61"/>
      <name val="Verdana"/>
      <family val="0"/>
    </font>
    <font>
      <b/>
      <sz val="8"/>
      <name val="Verdana"/>
      <family val="2"/>
    </font>
  </fonts>
  <fills count="6">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s>
  <borders count="27">
    <border>
      <left/>
      <right/>
      <top/>
      <bottom/>
      <diagonal/>
    </border>
    <border>
      <left style="double"/>
      <right style="double"/>
      <top style="double"/>
      <bottom>
        <color indexed="63"/>
      </bottom>
    </border>
    <border>
      <left style="double"/>
      <right style="double"/>
      <top style="double"/>
      <bottom style="double"/>
    </border>
    <border>
      <left style="medium"/>
      <right style="medium"/>
      <top style="medium"/>
      <bottom style="medium"/>
    </border>
    <border>
      <left style="double"/>
      <right style="double"/>
      <top>
        <color indexed="63"/>
      </top>
      <bottom style="double"/>
    </border>
    <border>
      <left style="medium"/>
      <right style="medium"/>
      <top style="medium"/>
      <bottom>
        <color indexed="63"/>
      </bottom>
    </border>
    <border>
      <left style="medium"/>
      <right style="medium"/>
      <top>
        <color indexed="63"/>
      </top>
      <bottom style="medium"/>
    </border>
    <border>
      <left style="thin"/>
      <right style="thin"/>
      <top style="thin"/>
      <bottom style="thin"/>
    </border>
    <border>
      <left style="medium"/>
      <right>
        <color indexed="63"/>
      </right>
      <top style="medium"/>
      <bottom style="medium"/>
    </border>
    <border>
      <left style="medium"/>
      <right>
        <color indexed="63"/>
      </right>
      <top>
        <color indexed="63"/>
      </top>
      <bottom>
        <color indexed="63"/>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style="thin"/>
    </border>
    <border>
      <left style="medium"/>
      <right style="medium"/>
      <top>
        <color indexed="63"/>
      </top>
      <bottom>
        <color indexed="63"/>
      </bottom>
    </border>
    <border>
      <left style="slantDashDot"/>
      <right style="slantDashDot"/>
      <top style="slantDashDot"/>
      <bottom style="slantDashDot"/>
    </border>
    <border>
      <left>
        <color indexed="63"/>
      </left>
      <right>
        <color indexed="63"/>
      </right>
      <top style="mediumDashed"/>
      <bottom>
        <color indexed="63"/>
      </bottom>
    </border>
    <border>
      <left style="slantDashDot"/>
      <right style="slantDashDot"/>
      <top style="slantDashDot"/>
      <bottom>
        <color indexed="63"/>
      </bottom>
    </border>
    <border>
      <left style="slantDashDot"/>
      <right style="slantDashDot"/>
      <top style="slantDashDot"/>
      <bottom style="double"/>
    </border>
    <border>
      <left style="slantDashDot"/>
      <right style="slantDashDot"/>
      <top>
        <color indexed="63"/>
      </top>
      <bottom style="slantDashDot"/>
    </border>
    <border>
      <left>
        <color indexed="63"/>
      </left>
      <right>
        <color indexed="63"/>
      </right>
      <top style="double"/>
      <bottom style="double"/>
    </border>
    <border>
      <left>
        <color indexed="63"/>
      </left>
      <right>
        <color indexed="63"/>
      </right>
      <top style="double"/>
      <bottom>
        <color indexed="63"/>
      </bottom>
    </border>
    <border>
      <left style="double"/>
      <right style="double"/>
      <top>
        <color indexed="63"/>
      </top>
      <bottom>
        <color indexed="63"/>
      </bottom>
    </border>
    <border>
      <left style="slantDashDot"/>
      <right style="slantDashDot"/>
      <top style="double"/>
      <bottom style="slantDashDot"/>
    </border>
    <border>
      <left>
        <color indexed="63"/>
      </left>
      <right style="double"/>
      <top style="double"/>
      <bottom style="double"/>
    </border>
    <border>
      <left>
        <color indexed="63"/>
      </left>
      <right style="thin"/>
      <top style="thin"/>
      <bottom>
        <color indexed="63"/>
      </bottom>
    </border>
    <border>
      <left>
        <color indexed="63"/>
      </left>
      <right>
        <color indexed="63"/>
      </right>
      <top>
        <color indexed="63"/>
      </top>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6"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Alignment="1">
      <alignment horizontal="center" vertical="center" wrapText="1"/>
    </xf>
    <xf numFmtId="0" fontId="8" fillId="0" borderId="3" xfId="0" applyFont="1" applyBorder="1" applyAlignment="1">
      <alignment horizontal="center" vertical="center" wrapText="1"/>
    </xf>
    <xf numFmtId="0" fontId="7" fillId="0" borderId="4" xfId="0" applyFont="1" applyBorder="1" applyAlignment="1">
      <alignment horizontal="center" vertical="center" wrapText="1"/>
    </xf>
    <xf numFmtId="164" fontId="4" fillId="0" borderId="0" xfId="0" applyNumberFormat="1" applyFont="1" applyBorder="1" applyAlignment="1">
      <alignment horizontal="center" vertical="center" wrapText="1"/>
    </xf>
    <xf numFmtId="0" fontId="6" fillId="0" borderId="2" xfId="0" applyFont="1" applyBorder="1" applyAlignment="1">
      <alignment horizontal="center" vertical="center" wrapText="1"/>
    </xf>
    <xf numFmtId="164" fontId="7" fillId="0" borderId="2"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9" fillId="0" borderId="0" xfId="0" applyFont="1" applyAlignment="1">
      <alignment vertical="center" wrapText="1"/>
    </xf>
    <xf numFmtId="0" fontId="8"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9" fillId="2" borderId="7" xfId="0" applyFont="1" applyFill="1" applyBorder="1" applyAlignment="1">
      <alignment horizontal="center" vertical="center" wrapText="1"/>
    </xf>
    <xf numFmtId="0" fontId="9" fillId="0" borderId="7" xfId="0" applyFont="1" applyBorder="1" applyAlignment="1">
      <alignment vertical="center" wrapText="1"/>
    </xf>
    <xf numFmtId="0" fontId="9" fillId="3" borderId="7" xfId="0" applyFont="1" applyFill="1" applyBorder="1" applyAlignment="1">
      <alignment horizontal="center" vertical="center" wrapText="1"/>
    </xf>
    <xf numFmtId="0" fontId="8" fillId="0" borderId="0" xfId="0" applyFont="1" applyBorder="1" applyAlignment="1">
      <alignment vertical="center" wrapText="1"/>
    </xf>
    <xf numFmtId="0" fontId="7"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0" fontId="15" fillId="0" borderId="0" xfId="0" applyFont="1" applyAlignment="1">
      <alignment/>
    </xf>
    <xf numFmtId="0" fontId="16" fillId="4" borderId="9" xfId="0" applyFont="1" applyFill="1" applyBorder="1" applyAlignment="1">
      <alignment/>
    </xf>
    <xf numFmtId="0" fontId="7" fillId="0" borderId="0" xfId="0" applyFont="1" applyBorder="1" applyAlignment="1">
      <alignment horizontal="center" vertical="center" wrapText="1"/>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xf>
    <xf numFmtId="0" fontId="19"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xf>
    <xf numFmtId="0" fontId="0" fillId="0" borderId="0" xfId="0" applyFont="1" applyFill="1" applyBorder="1" applyAlignment="1">
      <alignment/>
    </xf>
    <xf numFmtId="0" fontId="19" fillId="0" borderId="7" xfId="0" applyFont="1" applyFill="1" applyBorder="1" applyAlignment="1">
      <alignment horizontal="center"/>
    </xf>
    <xf numFmtId="2" fontId="19" fillId="0" borderId="7" xfId="0" applyNumberFormat="1" applyFont="1" applyFill="1" applyBorder="1" applyAlignment="1">
      <alignment horizontal="center"/>
    </xf>
    <xf numFmtId="10" fontId="19" fillId="0" borderId="7" xfId="0" applyNumberFormat="1" applyFont="1" applyFill="1" applyBorder="1" applyAlignment="1">
      <alignment horizontal="center"/>
    </xf>
    <xf numFmtId="0" fontId="19" fillId="0" borderId="0" xfId="0" applyFont="1" applyBorder="1" applyAlignment="1">
      <alignment/>
    </xf>
    <xf numFmtId="165" fontId="19" fillId="0" borderId="0" xfId="0" applyNumberFormat="1" applyFont="1" applyFill="1" applyBorder="1" applyAlignment="1">
      <alignment horizontal="center"/>
    </xf>
    <xf numFmtId="10" fontId="19" fillId="0" borderId="10" xfId="0" applyNumberFormat="1" applyFont="1" applyFill="1" applyBorder="1" applyAlignment="1">
      <alignment horizontal="center"/>
    </xf>
    <xf numFmtId="165" fontId="19" fillId="0" borderId="7" xfId="0" applyNumberFormat="1" applyFont="1" applyFill="1" applyBorder="1" applyAlignment="1">
      <alignment horizontal="center"/>
    </xf>
    <xf numFmtId="0" fontId="0" fillId="0" borderId="0" xfId="0" applyFont="1" applyFill="1" applyBorder="1" applyAlignment="1">
      <alignment horizontal="left"/>
    </xf>
    <xf numFmtId="0" fontId="0" fillId="0" borderId="0" xfId="0" applyFont="1" applyBorder="1" applyAlignment="1">
      <alignment/>
    </xf>
    <xf numFmtId="0" fontId="0" fillId="5" borderId="11" xfId="0" applyFont="1" applyFill="1" applyBorder="1" applyAlignment="1">
      <alignment/>
    </xf>
    <xf numFmtId="0" fontId="0" fillId="5" borderId="12" xfId="0" applyFont="1" applyFill="1" applyBorder="1" applyAlignment="1">
      <alignment/>
    </xf>
    <xf numFmtId="0" fontId="0" fillId="5" borderId="12" xfId="0" applyFont="1" applyFill="1" applyBorder="1" applyAlignment="1">
      <alignment horizontal="center"/>
    </xf>
    <xf numFmtId="0" fontId="0" fillId="0" borderId="11" xfId="0" applyFont="1" applyBorder="1" applyAlignment="1">
      <alignment/>
    </xf>
    <xf numFmtId="0" fontId="0" fillId="0" borderId="12" xfId="0" applyFont="1" applyBorder="1" applyAlignment="1">
      <alignment/>
    </xf>
    <xf numFmtId="164" fontId="0" fillId="4" borderId="13" xfId="0" applyNumberFormat="1" applyFont="1" applyFill="1" applyBorder="1" applyAlignment="1">
      <alignment horizontal="center"/>
    </xf>
    <xf numFmtId="0" fontId="19" fillId="0" borderId="0" xfId="0" applyFont="1" applyFill="1" applyBorder="1" applyAlignment="1">
      <alignment/>
    </xf>
    <xf numFmtId="0" fontId="0" fillId="0" borderId="9" xfId="0" applyFont="1" applyBorder="1" applyAlignment="1">
      <alignment/>
    </xf>
    <xf numFmtId="164" fontId="0" fillId="4" borderId="7" xfId="0" applyNumberFormat="1" applyFont="1" applyFill="1" applyBorder="1" applyAlignment="1">
      <alignment horizontal="center"/>
    </xf>
    <xf numFmtId="0" fontId="0" fillId="4" borderId="0" xfId="0" applyFont="1" applyFill="1" applyBorder="1" applyAlignment="1">
      <alignment/>
    </xf>
    <xf numFmtId="164" fontId="0" fillId="4" borderId="7" xfId="0" applyNumberFormat="1" applyFont="1" applyFill="1" applyBorder="1" applyAlignment="1">
      <alignment horizontal="center"/>
    </xf>
    <xf numFmtId="0" fontId="0" fillId="0" borderId="0" xfId="0" applyFont="1" applyFill="1" applyBorder="1" applyAlignment="1">
      <alignment/>
    </xf>
    <xf numFmtId="10" fontId="0" fillId="4" borderId="7" xfId="0" applyNumberFormat="1" applyFont="1" applyFill="1" applyBorder="1" applyAlignment="1">
      <alignment horizontal="center"/>
    </xf>
    <xf numFmtId="10" fontId="0" fillId="4" borderId="10" xfId="0" applyNumberFormat="1" applyFont="1" applyFill="1" applyBorder="1" applyAlignment="1">
      <alignment horizontal="center"/>
    </xf>
    <xf numFmtId="0" fontId="19" fillId="0" borderId="0" xfId="0" applyFont="1" applyBorder="1" applyAlignment="1">
      <alignment horizontal="right"/>
    </xf>
    <xf numFmtId="166" fontId="0" fillId="4" borderId="7" xfId="0" applyNumberFormat="1" applyFont="1" applyFill="1" applyBorder="1" applyAlignment="1">
      <alignment horizontal="center"/>
    </xf>
    <xf numFmtId="165" fontId="19" fillId="0" borderId="14" xfId="0" applyNumberFormat="1" applyFont="1" applyBorder="1" applyAlignment="1">
      <alignment/>
    </xf>
    <xf numFmtId="2" fontId="19" fillId="0" borderId="0" xfId="0" applyNumberFormat="1" applyFont="1" applyBorder="1" applyAlignment="1">
      <alignment horizontal="right"/>
    </xf>
    <xf numFmtId="2" fontId="19" fillId="0" borderId="0" xfId="0" applyNumberFormat="1" applyFont="1" applyAlignment="1">
      <alignment/>
    </xf>
    <xf numFmtId="166" fontId="19" fillId="0" borderId="0" xfId="0" applyNumberFormat="1" applyFont="1" applyAlignment="1">
      <alignment/>
    </xf>
    <xf numFmtId="0" fontId="19" fillId="0" borderId="0" xfId="0" applyFont="1" applyAlignment="1">
      <alignment horizontal="right"/>
    </xf>
    <xf numFmtId="0" fontId="20" fillId="0" borderId="0" xfId="0" applyFont="1" applyAlignment="1">
      <alignment/>
    </xf>
    <xf numFmtId="0" fontId="0" fillId="0" borderId="9" xfId="0" applyFont="1" applyFill="1" applyBorder="1" applyAlignment="1">
      <alignment/>
    </xf>
    <xf numFmtId="1" fontId="8" fillId="2" borderId="3" xfId="0" applyNumberFormat="1" applyFont="1" applyFill="1" applyBorder="1" applyAlignment="1">
      <alignment horizontal="center" vertical="center"/>
    </xf>
    <xf numFmtId="0" fontId="8"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9" fillId="0" borderId="0" xfId="0" applyFont="1" applyFill="1" applyBorder="1" applyAlignment="1">
      <alignment horizontal="center" vertical="center"/>
    </xf>
    <xf numFmtId="1" fontId="9" fillId="0" borderId="0" xfId="0" applyNumberFormat="1" applyFont="1" applyFill="1" applyBorder="1" applyAlignment="1">
      <alignment horizontal="center"/>
    </xf>
    <xf numFmtId="1" fontId="9" fillId="0" borderId="0" xfId="0" applyNumberFormat="1" applyFont="1" applyFill="1" applyBorder="1" applyAlignment="1">
      <alignment horizontal="center" vertical="center"/>
    </xf>
    <xf numFmtId="0" fontId="8" fillId="0" borderId="1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1" fontId="8" fillId="2" borderId="15" xfId="0" applyNumberFormat="1" applyFont="1" applyFill="1" applyBorder="1" applyAlignment="1">
      <alignment horizontal="center" vertical="center" wrapText="1"/>
    </xf>
    <xf numFmtId="1" fontId="8" fillId="2" borderId="15" xfId="0" applyNumberFormat="1" applyFont="1" applyFill="1" applyBorder="1" applyAlignment="1">
      <alignment horizontal="center" vertical="center"/>
    </xf>
    <xf numFmtId="0" fontId="4" fillId="0" borderId="0" xfId="0" applyFont="1" applyBorder="1" applyAlignment="1">
      <alignment vertical="center" wrapText="1"/>
    </xf>
    <xf numFmtId="164"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164" fontId="8" fillId="0" borderId="0"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13" fillId="0" borderId="0" xfId="0" applyFont="1" applyAlignment="1">
      <alignment vertical="center"/>
    </xf>
    <xf numFmtId="0" fontId="13" fillId="0" borderId="0" xfId="0" applyFont="1" applyAlignment="1">
      <alignment/>
    </xf>
    <xf numFmtId="0" fontId="13" fillId="0" borderId="0" xfId="0" applyFont="1" applyFill="1" applyAlignment="1">
      <alignment/>
    </xf>
    <xf numFmtId="0" fontId="22" fillId="0" borderId="16" xfId="0" applyFont="1" applyBorder="1" applyAlignment="1">
      <alignment horizontal="left" vertical="center"/>
    </xf>
    <xf numFmtId="0" fontId="13" fillId="0" borderId="16" xfId="0" applyFont="1" applyBorder="1" applyAlignment="1">
      <alignment/>
    </xf>
    <xf numFmtId="0" fontId="13" fillId="0" borderId="0" xfId="0" applyFont="1" applyBorder="1" applyAlignment="1">
      <alignment/>
    </xf>
    <xf numFmtId="0" fontId="23" fillId="5" borderId="0" xfId="0" applyFont="1" applyFill="1" applyBorder="1" applyAlignment="1">
      <alignment horizontal="left" vertical="center"/>
    </xf>
    <xf numFmtId="0" fontId="4" fillId="5" borderId="0" xfId="0" applyFont="1" applyFill="1" applyBorder="1" applyAlignment="1">
      <alignment vertical="center" wrapText="1"/>
    </xf>
    <xf numFmtId="164" fontId="7" fillId="0" borderId="20" xfId="0" applyNumberFormat="1"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vertical="center" wrapText="1"/>
    </xf>
    <xf numFmtId="164" fontId="8" fillId="2" borderId="22" xfId="0" applyNumberFormat="1" applyFont="1" applyFill="1" applyBorder="1" applyAlignment="1">
      <alignment horizontal="center" vertical="center" wrapText="1"/>
    </xf>
    <xf numFmtId="164" fontId="8" fillId="2" borderId="2" xfId="0" applyNumberFormat="1" applyFont="1" applyFill="1" applyBorder="1" applyAlignment="1">
      <alignment horizontal="center" vertical="center" wrapText="1"/>
    </xf>
    <xf numFmtId="0" fontId="7" fillId="0" borderId="21" xfId="0" applyFont="1" applyBorder="1" applyAlignment="1">
      <alignment horizontal="center" vertical="center" wrapText="1"/>
    </xf>
    <xf numFmtId="9" fontId="7" fillId="0" borderId="0"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64" fontId="8" fillId="2" borderId="1" xfId="0" applyNumberFormat="1" applyFont="1" applyFill="1" applyBorder="1" applyAlignment="1">
      <alignment horizontal="center" vertical="center" wrapText="1"/>
    </xf>
    <xf numFmtId="0" fontId="4" fillId="5" borderId="0" xfId="0" applyFont="1" applyFill="1" applyAlignment="1">
      <alignment vertical="center" wrapText="1"/>
    </xf>
    <xf numFmtId="0" fontId="13" fillId="5" borderId="0" xfId="0" applyFont="1" applyFill="1" applyAlignment="1">
      <alignment/>
    </xf>
    <xf numFmtId="0" fontId="4" fillId="5" borderId="0" xfId="0" applyFont="1" applyFill="1" applyAlignment="1">
      <alignment horizontal="center" vertical="center" wrapText="1"/>
    </xf>
    <xf numFmtId="0" fontId="8" fillId="5" borderId="0" xfId="0" applyFont="1" applyFill="1" applyAlignment="1">
      <alignment horizontal="center" vertical="center" wrapText="1"/>
    </xf>
    <xf numFmtId="0" fontId="4" fillId="5" borderId="0" xfId="0" applyFont="1" applyFill="1" applyAlignment="1">
      <alignment horizontal="center" vertical="center"/>
    </xf>
    <xf numFmtId="0" fontId="4" fillId="5" borderId="0" xfId="0" applyFont="1" applyFill="1" applyAlignment="1">
      <alignment vertical="center"/>
    </xf>
    <xf numFmtId="0" fontId="22" fillId="5" borderId="0" xfId="0" applyFont="1" applyFill="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center" vertical="center" wrapText="1"/>
    </xf>
    <xf numFmtId="1" fontId="8" fillId="2" borderId="8" xfId="0" applyNumberFormat="1" applyFont="1" applyFill="1" applyBorder="1" applyAlignment="1">
      <alignment horizontal="center" vertical="center" wrapText="1"/>
    </xf>
    <xf numFmtId="164" fontId="13" fillId="0" borderId="0" xfId="0" applyNumberFormat="1" applyFont="1" applyAlignment="1">
      <alignment vertical="center"/>
    </xf>
    <xf numFmtId="0" fontId="7" fillId="3" borderId="18" xfId="0" applyFont="1" applyFill="1" applyBorder="1" applyAlignment="1" applyProtection="1">
      <alignment horizontal="center" vertical="center" wrapText="1"/>
      <protection locked="0"/>
    </xf>
    <xf numFmtId="0" fontId="7" fillId="3" borderId="23" xfId="0" applyFont="1" applyFill="1" applyBorder="1" applyAlignment="1" applyProtection="1">
      <alignment horizontal="center" vertical="center" wrapText="1"/>
      <protection locked="0"/>
    </xf>
    <xf numFmtId="1" fontId="7" fillId="3" borderId="2"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2" fontId="7" fillId="3" borderId="2" xfId="0" applyNumberFormat="1" applyFont="1" applyFill="1" applyBorder="1" applyAlignment="1" applyProtection="1">
      <alignment horizontal="center" vertical="center" wrapText="1"/>
      <protection locked="0"/>
    </xf>
    <xf numFmtId="9" fontId="7" fillId="3" borderId="2" xfId="0" applyNumberFormat="1" applyFont="1" applyFill="1" applyBorder="1" applyAlignment="1" applyProtection="1">
      <alignment horizontal="center" vertical="center" wrapText="1"/>
      <protection locked="0"/>
    </xf>
    <xf numFmtId="164" fontId="7" fillId="3" borderId="24" xfId="0" applyNumberFormat="1" applyFont="1" applyFill="1" applyBorder="1" applyAlignment="1" applyProtection="1">
      <alignment horizontal="center" vertical="center" wrapText="1"/>
      <protection locked="0"/>
    </xf>
    <xf numFmtId="0" fontId="7" fillId="5" borderId="0" xfId="0" applyFont="1" applyFill="1" applyAlignment="1">
      <alignment horizontal="center" vertical="center" wrapText="1"/>
    </xf>
    <xf numFmtId="2" fontId="8" fillId="2" borderId="3" xfId="0" applyNumberFormat="1" applyFont="1" applyFill="1" applyBorder="1" applyAlignment="1">
      <alignment horizontal="center" vertical="center"/>
    </xf>
    <xf numFmtId="164" fontId="7" fillId="3" borderId="2" xfId="0" applyNumberFormat="1" applyFont="1" applyFill="1" applyBorder="1" applyAlignment="1" applyProtection="1">
      <alignment horizontal="center" vertical="center"/>
      <protection locked="0"/>
    </xf>
    <xf numFmtId="1" fontId="8" fillId="2" borderId="15" xfId="0" applyNumberFormat="1" applyFont="1" applyFill="1" applyBorder="1" applyAlignment="1">
      <alignment horizontal="center"/>
    </xf>
    <xf numFmtId="0" fontId="7" fillId="3" borderId="15" xfId="0" applyFont="1" applyFill="1" applyBorder="1" applyAlignment="1" applyProtection="1">
      <alignment horizontal="center" vertical="center"/>
      <protection locked="0"/>
    </xf>
    <xf numFmtId="164" fontId="7" fillId="3" borderId="25" xfId="0" applyNumberFormat="1" applyFont="1" applyFill="1" applyBorder="1" applyAlignment="1" applyProtection="1">
      <alignment horizontal="center" vertical="center"/>
      <protection locked="0"/>
    </xf>
    <xf numFmtId="1" fontId="8" fillId="2" borderId="24" xfId="0" applyNumberFormat="1" applyFont="1" applyFill="1" applyBorder="1" applyAlignment="1">
      <alignment horizontal="center" vertical="center" wrapText="1"/>
    </xf>
    <xf numFmtId="0" fontId="7" fillId="3" borderId="2" xfId="0" applyFont="1" applyFill="1" applyBorder="1" applyAlignment="1">
      <alignment horizontal="center" vertical="center"/>
    </xf>
    <xf numFmtId="1" fontId="7" fillId="3" borderId="2" xfId="0" applyNumberFormat="1" applyFont="1" applyFill="1" applyBorder="1" applyAlignment="1">
      <alignment horizontal="center" vertical="center" wrapText="1"/>
    </xf>
    <xf numFmtId="0" fontId="19" fillId="0" borderId="0" xfId="0" applyFont="1" applyAlignment="1">
      <alignment horizontal="center" vertical="center" wrapText="1"/>
    </xf>
    <xf numFmtId="0" fontId="21" fillId="0" borderId="0" xfId="0" applyFont="1" applyAlignment="1">
      <alignment vertical="center"/>
    </xf>
    <xf numFmtId="0" fontId="0" fillId="0" borderId="0" xfId="0" applyAlignment="1">
      <alignment vertical="center"/>
    </xf>
    <xf numFmtId="0" fontId="23" fillId="5" borderId="0" xfId="0" applyFont="1" applyFill="1" applyAlignment="1">
      <alignment horizontal="left" vertical="center"/>
    </xf>
    <xf numFmtId="0" fontId="13" fillId="0" borderId="0" xfId="0" applyFont="1" applyAlignment="1">
      <alignment vertical="center"/>
    </xf>
    <xf numFmtId="0" fontId="22" fillId="5" borderId="0" xfId="0" applyFont="1" applyFill="1" applyAlignment="1">
      <alignment horizontal="left" vertical="center"/>
    </xf>
    <xf numFmtId="0" fontId="21" fillId="0" borderId="0" xfId="0" applyFont="1" applyAlignment="1">
      <alignment vertical="center" wrapText="1"/>
    </xf>
    <xf numFmtId="0" fontId="0" fillId="0" borderId="0" xfId="0" applyAlignment="1">
      <alignment vertical="center" wrapText="1"/>
    </xf>
    <xf numFmtId="0" fontId="23" fillId="5" borderId="26" xfId="0" applyFont="1" applyFill="1" applyBorder="1" applyAlignment="1">
      <alignment horizontal="left" vertical="center"/>
    </xf>
    <xf numFmtId="0" fontId="13" fillId="5" borderId="26" xfId="0" applyFont="1" applyFill="1" applyBorder="1" applyAlignment="1">
      <alignment vertical="center"/>
    </xf>
    <xf numFmtId="0" fontId="13" fillId="0" borderId="26" xfId="0" applyFont="1" applyBorder="1" applyAlignment="1">
      <alignment vertical="center"/>
    </xf>
    <xf numFmtId="0" fontId="23" fillId="5" borderId="0" xfId="0" applyFont="1" applyFill="1" applyAlignment="1">
      <alignment horizontal="left" vertical="center" wrapText="1"/>
    </xf>
    <xf numFmtId="0" fontId="13" fillId="0" borderId="0" xfId="0" applyFont="1" applyAlignment="1">
      <alignment vertical="center" wrapText="1"/>
    </xf>
    <xf numFmtId="0" fontId="8" fillId="0" borderId="5" xfId="0" applyFont="1" applyBorder="1" applyAlignment="1">
      <alignment horizontal="center" vertical="center" wrapText="1"/>
    </xf>
    <xf numFmtId="0" fontId="0" fillId="0" borderId="14" xfId="0" applyBorder="1" applyAlignment="1">
      <alignment horizontal="center" vertical="center" wrapText="1"/>
    </xf>
    <xf numFmtId="0" fontId="0" fillId="0" borderId="6" xfId="0" applyBorder="1" applyAlignment="1">
      <alignment horizontal="center" vertical="center" wrapText="1"/>
    </xf>
    <xf numFmtId="0" fontId="19" fillId="0" borderId="0" xfId="0" applyFont="1" applyAlignment="1">
      <alignment horizontal="left" vertical="center" wrapText="1"/>
    </xf>
    <xf numFmtId="0" fontId="4" fillId="0" borderId="0" xfId="0" applyFont="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DD0806"/>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447675</xdr:rowOff>
    </xdr:from>
    <xdr:to>
      <xdr:col>8</xdr:col>
      <xdr:colOff>600075</xdr:colOff>
      <xdr:row>144</xdr:row>
      <xdr:rowOff>0</xdr:rowOff>
    </xdr:to>
    <xdr:sp>
      <xdr:nvSpPr>
        <xdr:cNvPr id="1" name="Text Box 2"/>
        <xdr:cNvSpPr txBox="1">
          <a:spLocks noChangeArrowheads="1"/>
        </xdr:cNvSpPr>
      </xdr:nvSpPr>
      <xdr:spPr>
        <a:xfrm>
          <a:off x="247650" y="447675"/>
          <a:ext cx="5257800" cy="231648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Palmer’s Residual Alkalinity Worksheet Instructions by John Palmer
</a:t>
          </a:r>
          <a:r>
            <a:rPr lang="en-US" cap="none" sz="1000" b="1" i="0" u="none" baseline="0">
              <a:solidFill>
                <a:srgbClr val="000000"/>
              </a:solidFill>
              <a:latin typeface="Arial"/>
              <a:ea typeface="Arial"/>
              <a:cs typeface="Arial"/>
            </a:rPr>
            <a:t>All Rights Reserved, 2008</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Scope: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purpose of this spreadsheet is to help the brewer calculate salt and acid additions to create brewing water with a target amount of residual alkalinity (RA), with respect to the target color of the beer, to ensure the correct mash pH (5.4-5.8 @ 20°C).
</a:t>
          </a:r>
          <a:r>
            <a:rPr lang="en-US" cap="none" sz="1000" b="0" i="0" u="sng"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If you want to modify the calculations in the spreadsheet for your own uses, the sheet protection password is "modify".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Background: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Residual alkalinity is a powerful tool that every homebrewer can use whether they brew with malt extract or all-grain. It describes the relationship between water mineral content and mash and beer pH. In my opinion, understanding residual alkalinity is the key to being able to brew great beers in any style.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concept of residual alkalinity was published in 1953 by Paulas Kohlbach, who determined that the pH of a distilled water mash was about 5.75, and that calcium and magnesium in brewing water react with malt phytin to neutralize alkalinity according to the following equation: 
</a:t>
          </a:r>
          <a:r>
            <a:rPr lang="en-US" cap="none" sz="1000" b="0" i="0" u="none" baseline="0">
              <a:solidFill>
                <a:srgbClr val="000000"/>
              </a:solidFill>
              <a:latin typeface="Arial"/>
              <a:ea typeface="Arial"/>
              <a:cs typeface="Arial"/>
            </a:rPr>
            <a:t>Alkalinity = (Calcium/3.5) + (Magnesium/7)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Alkalinity that is not neutralized by calcium and magnesium is termed “residual” alkalinity, and residual alkalinity will drive the ph of the mash, and subsequently the beer, upwards. As mentioned above, this changes the beer’s flavor, dulling it or even causing it to be harshly bitter.
</a:t>
          </a:r>
          <a:r>
            <a:rPr lang="en-US" cap="none" sz="1000" b="0" i="0" u="none" baseline="0">
              <a:solidFill>
                <a:srgbClr val="000000"/>
              </a:solidFill>
              <a:latin typeface="Arial"/>
              <a:ea typeface="Arial"/>
              <a:cs typeface="Arial"/>
            </a:rPr>
            <a:t>The equation for residual alkalinity is:
</a:t>
          </a:r>
          <a:r>
            <a:rPr lang="en-US" cap="none" sz="1000" b="0" i="0" u="none" baseline="0">
              <a:solidFill>
                <a:srgbClr val="000000"/>
              </a:solidFill>
              <a:latin typeface="Arial"/>
              <a:ea typeface="Arial"/>
              <a:cs typeface="Arial"/>
            </a:rPr>
            <a:t>RA = Total Alkalinity – ((Calcium/3.5) + (Magnesium/7))
</a:t>
          </a:r>
          <a:r>
            <a:rPr lang="en-US" cap="none" sz="1000" b="0" i="0" u="none" baseline="0">
              <a:solidFill>
                <a:srgbClr val="000000"/>
              </a:solidFill>
              <a:latin typeface="Arial"/>
              <a:ea typeface="Arial"/>
              <a:cs typeface="Arial"/>
            </a:rPr>
            <a:t>where the values are all in the same unit, either milliequivalents/liter or ppm as CaCO3.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Residual alkalinity is not the balance of hardness to the alkalinity; it is the balance of alkalinity to the calcium and magnesium levels and the malts. For this reason, you need to know the individual calcium and magnesium levels in the water, not just the total hardness as CaCO3. It is the residual alkalinity and the natural acidity of the malts in the grain bill that determines the mash pH.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best results, for all beer styles, the mash pH should be 5.1–5.5 when measured at mash temperature, and 5.4–5.8 when measured at room temperature. (At mash temperature the pH will measure about 0.3 lower due to greater dissociation of the hydrogen ions.) Darker malts have more natural acidity, and therefore require more residual alkalinity to balance them to arrive at the optimum pH. However, the relationship is a general one – different malts of the same Lovibond color value can have different amounts of acidity. You can use the calculated color of a beer recipe as a guide, but don’t rely on it as gospel to determine the appropriate amount of residual alkalinity; it is a general relationship, like cloud color and rain.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Instructions: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Step 1, Determining RA Target:</a:t>
          </a:r>
          <a:r>
            <a:rPr lang="en-US" cap="none" sz="1000" b="0" i="0" u="none" baseline="0">
              <a:solidFill>
                <a:srgbClr val="000000"/>
              </a:solidFill>
              <a:latin typeface="Arial"/>
              <a:ea typeface="Arial"/>
              <a:cs typeface="Arial"/>
            </a:rPr>
            <a:t> Decide on the color of the beer you would like to brew. Look at the BJCP Style Guidelines at www.bjcp.org or at a brewery website that lists the color of the beer you would like to brew. Enter the color value in the Target Color box, and the spreadsheet will calculate a range of RA that should generate a mash pH that falls in the correct range. Remember, roastier grain bills will have a higher acidity than grain bills composed of caramel and toasted malts. Look at the range of RA present and choose a number that you feel is appropriate to the style of beer you want to brew. For example, if the target beer color is 10 SRM (20 EBC), the RA range is 0-60. Water with an RA close to zero will create a lower, more acidic mash pH, probably around 5.4 @ 20°C. Water with an RA closer to 60 will create a higher, less acidic mash pH, probably around 5.8 @ 20°C. The mash pH will drive the final beer pH. Lower beer pH translates to a sharper or brighter expression of beer flavors, while a higher beer pH softens and mellows out the flavors. A softer character is usually desired for roastier beers to prevent them from tasting acrid.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Alternatively, many brewers find water profiles for famous brewing cities on the Internet for beers that they would like to emulate. The brewer can input the profile into the second row of inputs in Step One on the spreadsheet. Often the listed water profile will not have a residual alkalinity that is appropriate for the desired beer color, and this step will reveal that to the brewer so adjustments to the profile can be made.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chloride to sulfate ratio is known to be a strong factor for the taste of the beer. A beer with a ratio of chloride to sulfate of 1-2 will have a maltier balance, while a beer with a chloride to sulfate ratio of 0,5-1 will have a drier, more bitter balance.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Step 2, Source Water Profile:</a:t>
          </a:r>
          <a:r>
            <a:rPr lang="en-US" cap="none" sz="1000" b="0" i="0" u="none" baseline="0">
              <a:solidFill>
                <a:srgbClr val="000000"/>
              </a:solidFill>
              <a:latin typeface="Arial"/>
              <a:ea typeface="Arial"/>
              <a:cs typeface="Arial"/>
            </a:rPr>
            <a:t> Enter the water profile for the source (i.e., tap) water you will be using. Get the profile from your local water department. Water profiles can change seasonally, so you may want to call them and get the latest report, rather than depending on the annual report, which is an average.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Step 3, Dilution of Source Water:</a:t>
          </a:r>
          <a:r>
            <a:rPr lang="en-US" cap="none" sz="1000" b="0" i="0" u="none" baseline="0">
              <a:solidFill>
                <a:srgbClr val="000000"/>
              </a:solidFill>
              <a:latin typeface="Arial"/>
              <a:ea typeface="Arial"/>
              <a:cs typeface="Arial"/>
            </a:rPr>
            <a:t> You may want to dilute your tap water with distilled water if your water is very high in alkalinity (&gt;200 ppm as CaCO3). Increase the dilution percent until the alkalinity or RA is acceptable. Dilution will also reduce your calcium and magnesium levels, and you will probably want to add salts in Step 5 to bring the at least the calcium up to minimum levels for good fermentation and clarity (50 ppm).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Step 4, Residual Alkalinity Target:</a:t>
          </a:r>
          <a:r>
            <a:rPr lang="en-US" cap="none" sz="1000" b="0" i="0" u="none" baseline="0">
              <a:solidFill>
                <a:srgbClr val="000000"/>
              </a:solidFill>
              <a:latin typeface="Arial"/>
              <a:ea typeface="Arial"/>
              <a:cs typeface="Arial"/>
            </a:rPr>
            <a:t> Here is where you choose the target RA for the beer you want to brew, and the total volume of mash water that you intend to use during sacchrification. Choose an RA that is within the range calculated in Step 1. This spreadsheet will help you achieve a final water profile and RA that is very close to the value you enter here. It does not have to be exact – the relationship between beer color, residual alkalinity, and mash pH is a general one, so close enough is good enough. 
</a:t>
          </a:r>
          <a:r>
            <a:rPr lang="en-US" cap="none" sz="1000" b="0" i="0" u="none" baseline="0">
              <a:solidFill>
                <a:srgbClr val="000000"/>
              </a:solidFill>
              <a:latin typeface="Arial"/>
              <a:ea typeface="Arial"/>
              <a:cs typeface="Arial"/>
            </a:rPr>
            <a:t>Calculate the water volume by the weight of malt in the grain bill and the water-to-grist ratio you intend to use during sacchrification.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Step 5, Salt Additions:</a:t>
          </a:r>
          <a:r>
            <a:rPr lang="en-US" cap="none" sz="1000" b="0" i="0" u="none" baseline="0">
              <a:solidFill>
                <a:srgbClr val="000000"/>
              </a:solidFill>
              <a:latin typeface="Arial"/>
              <a:ea typeface="Arial"/>
              <a:cs typeface="Arial"/>
            </a:rPr>
            <a:t> Add salts (in grams) to build the RA and flavor profile that you want for the beer. You may want to trade off between different calcium salts to balance the anion content. For example, if the sulfate level gets too high from adding gypsum, use some calcium chloride instead. If the alkalinity is not high enough for a dark beer, try adding a combination of sodium bicarbonate and calcium carbonate.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Here is where the sulfate to chloride ratio is useful to help choose which salts to use in adjusting the RA. If you are intending to brew a hoppy beer, use sulfate salts to move the balance Bitter or Very Bitter. If you are intending to brew a malt dominated beer, then use chloride salts to move the balance to Malty or Very Malty. Alternatively, you can use a combination of chloride and sulfate salts to keep the character Balanced.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Step 6, Acid Additions:</a:t>
          </a:r>
          <a:r>
            <a:rPr lang="en-US" cap="none" sz="1000" b="0" i="0" u="none" baseline="0">
              <a:solidFill>
                <a:srgbClr val="000000"/>
              </a:solidFill>
              <a:latin typeface="Arial"/>
              <a:ea typeface="Arial"/>
              <a:cs typeface="Arial"/>
            </a:rPr>
            <a:t> If the mineral profile is where you want it, but the RA is still too high, you might want to add acid to help bring it down. Hydrochloric acid will add chloride ion to the water, so watch the chloride levels. Chloride above 300 ppm is not recommended due to salty flavors. Lactic acid will not change the ion levels, but will add a touch of sourness to the beer if large amounts are used. I do not recommend the use of Phosphoric Acid because it removes calcium from the water as well, and changes the water profile that you are trying to adjust. The amount of calcium removed is complex and I don’t have a feedback loop in the spreadsheet to accommodate the effect. Sulfuric acid is very useful from a brewer’s point of view, but it is so hazardous to skin that I do not recommend it.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Step 7, Results:</a:t>
          </a:r>
          <a:r>
            <a:rPr lang="en-US" cap="none" sz="1000" b="0" i="0" u="none" baseline="0">
              <a:solidFill>
                <a:srgbClr val="000000"/>
              </a:solidFill>
              <a:latin typeface="Arial"/>
              <a:ea typeface="Arial"/>
              <a:cs typeface="Arial"/>
            </a:rPr>
            <a:t> This section shows the final water chemistry for the mash, and the estimated range of beer color for that water. You can adjust previous steps in the spreadsheet to home in on your target color here.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Step 8, Sparge Water pH Adjustment: 
</a:t>
          </a:r>
          <a:r>
            <a:rPr lang="en-US" cap="none" sz="1000" b="0" i="0" u="none" baseline="0">
              <a:solidFill>
                <a:srgbClr val="000000"/>
              </a:solidFill>
              <a:latin typeface="Arial"/>
              <a:ea typeface="Arial"/>
              <a:cs typeface="Arial"/>
            </a:rPr>
            <a:t>Note: This calculation works from the Alkalinity number of the Diluted Source Water step. If you are using undiluted source water for sparging, make sure that a value of "0%" is entered in the dilution rate cell for this calculation, even if you had used dilution for the mash water.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Sparge water acidification is usually not necessary, but brewers in high alkalinity regions may want to adjust the pH of their sparge water to prevent a rise in mash pH towards the end of the sparge and the tannin extraction that can occur at that time. Salt additions typically do not dissolve into sparge water, so dilution or acid additions are a more effective way to lower the alkalinity and reduce the risk of pH rise. If you add acid to the sparge water, do NOT acidify it to the mash pH range. Remember that the mash pH is an equilibrium of the chemistry and the malts, and that by adding enough acid to bring alkaline water down to a pH of 5, you are overloading the chemistry side of the equation. You should only add enough acid to neutralize the alkalinity of the sparge water (i.e., to a pH of 7) or a little more to (pH 6), in order to prevent a rise in mash pH as the buffering power of the wort is rinsed away from the grainbed.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705616\Local%20Settings\Temporary%20Internet%20Files\Content.IE5\8RATUDEF\Macintosh%20HDDOCUME~1\us705616\LOCALS~1\Temp\notesBAAA25\Web%20Downloads\acid-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sheetDataSet>
      <sheetData sheetId="0">
        <row r="6">
          <cell r="I6" t="str">
            <v>lactic</v>
          </cell>
        </row>
        <row r="7">
          <cell r="I7" t="str">
            <v>phosphoric</v>
          </cell>
        </row>
        <row r="8">
          <cell r="I8" t="str">
            <v>hydrochloric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I1"/>
  <sheetViews>
    <sheetView workbookViewId="0" topLeftCell="A1">
      <selection activeCell="B1" sqref="B1:I1"/>
    </sheetView>
  </sheetViews>
  <sheetFormatPr defaultColWidth="8.75390625" defaultRowHeight="12.75"/>
  <cols>
    <col min="1" max="1" width="3.125" style="0" customWidth="1"/>
  </cols>
  <sheetData>
    <row r="1" spans="2:9" ht="36" customHeight="1">
      <c r="B1" s="137" t="s">
        <v>16</v>
      </c>
      <c r="C1" s="138"/>
      <c r="D1" s="138"/>
      <c r="E1" s="138"/>
      <c r="F1" s="138"/>
      <c r="G1" s="138"/>
      <c r="H1" s="138"/>
      <c r="I1" s="138"/>
    </row>
  </sheetData>
  <mergeCells count="1">
    <mergeCell ref="B1:I1"/>
  </mergeCells>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B1:U52"/>
  <sheetViews>
    <sheetView tabSelected="1" workbookViewId="0" topLeftCell="A14">
      <selection activeCell="O22" sqref="O22"/>
    </sheetView>
  </sheetViews>
  <sheetFormatPr defaultColWidth="13.375" defaultRowHeight="12.75"/>
  <cols>
    <col min="1" max="1" width="2.625" style="3" customWidth="1"/>
    <col min="2" max="2" width="10.875" style="4" customWidth="1"/>
    <col min="3" max="5" width="9.125" style="3" customWidth="1"/>
    <col min="6" max="9" width="9.125" style="4" customWidth="1"/>
    <col min="10" max="10" width="2.25390625" style="4" customWidth="1"/>
    <col min="11" max="12" width="10.625" style="3" customWidth="1"/>
    <col min="13" max="15" width="9.125" style="3" customWidth="1"/>
    <col min="16" max="16384" width="13.375" style="3" customWidth="1"/>
  </cols>
  <sheetData>
    <row r="1" spans="2:9" ht="34.5" customHeight="1">
      <c r="B1" s="142" t="s">
        <v>4</v>
      </c>
      <c r="C1" s="143"/>
      <c r="D1" s="143"/>
      <c r="E1" s="143"/>
      <c r="F1" s="143"/>
      <c r="G1" s="143"/>
      <c r="H1" s="143"/>
      <c r="I1" s="143"/>
    </row>
    <row r="2" spans="3:7" ht="12">
      <c r="C2" s="21"/>
      <c r="D2" s="20" t="s">
        <v>24</v>
      </c>
      <c r="G2" s="2" t="s">
        <v>105</v>
      </c>
    </row>
    <row r="3" spans="3:10" s="1" customFormat="1" ht="24">
      <c r="C3" s="19"/>
      <c r="D3" s="20" t="s">
        <v>25</v>
      </c>
      <c r="F3" s="1" t="s">
        <v>19</v>
      </c>
      <c r="G3" s="2"/>
      <c r="I3" s="2"/>
      <c r="J3" s="2"/>
    </row>
    <row r="4" spans="6:10" s="1" customFormat="1" ht="12">
      <c r="F4" s="2"/>
      <c r="G4" s="2"/>
      <c r="H4" s="2"/>
      <c r="I4" s="2"/>
      <c r="J4" s="2"/>
    </row>
    <row r="5" spans="2:15" s="1" customFormat="1" ht="12">
      <c r="B5" s="147" t="s">
        <v>112</v>
      </c>
      <c r="C5" s="140"/>
      <c r="D5" s="140"/>
      <c r="E5" s="140"/>
      <c r="F5" s="140"/>
      <c r="G5" s="140"/>
      <c r="H5" s="140"/>
      <c r="I5" s="140"/>
      <c r="J5" s="113"/>
      <c r="K5" s="114"/>
      <c r="L5" s="114"/>
      <c r="M5" s="114"/>
      <c r="N5" s="114"/>
      <c r="O5" s="114"/>
    </row>
    <row r="6" spans="2:15" s="1" customFormat="1" ht="34.5" customHeight="1" thickBot="1">
      <c r="B6" s="140"/>
      <c r="C6" s="140"/>
      <c r="D6" s="140"/>
      <c r="E6" s="140"/>
      <c r="F6" s="140"/>
      <c r="G6" s="140"/>
      <c r="H6" s="140"/>
      <c r="I6" s="140"/>
      <c r="J6" s="113"/>
      <c r="K6" s="114"/>
      <c r="L6" s="114"/>
      <c r="M6" s="114"/>
      <c r="N6" s="114"/>
      <c r="O6" s="114"/>
    </row>
    <row r="7" spans="2:10" s="1" customFormat="1" ht="36" customHeight="1" thickBot="1">
      <c r="B7" s="78" t="s">
        <v>103</v>
      </c>
      <c r="C7" s="78" t="s">
        <v>121</v>
      </c>
      <c r="D7" s="78" t="s">
        <v>120</v>
      </c>
      <c r="F7" s="2"/>
      <c r="G7" s="2"/>
      <c r="H7" s="2"/>
      <c r="I7" s="2"/>
      <c r="J7" s="2"/>
    </row>
    <row r="8" spans="2:10" s="1" customFormat="1" ht="18" customHeight="1" thickBot="1">
      <c r="B8" s="131"/>
      <c r="C8" s="130">
        <f>B8*12.2-122.4</f>
        <v>-122.4</v>
      </c>
      <c r="D8" s="84">
        <f>(B8-5.2)*12.2</f>
        <v>-63.44</v>
      </c>
      <c r="F8" s="115" t="s">
        <v>18</v>
      </c>
      <c r="G8" s="2"/>
      <c r="H8" s="2"/>
      <c r="I8" s="2"/>
      <c r="J8" s="2"/>
    </row>
    <row r="9" spans="2:21" s="1" customFormat="1" ht="9" customHeight="1" thickBot="1">
      <c r="B9" s="75"/>
      <c r="C9" s="76"/>
      <c r="D9" s="77"/>
      <c r="F9" s="2"/>
      <c r="G9" s="2"/>
      <c r="H9" s="2"/>
      <c r="I9" s="2"/>
      <c r="J9" s="2"/>
      <c r="T9" s="152" t="s">
        <v>107</v>
      </c>
      <c r="U9" s="152" t="s">
        <v>108</v>
      </c>
    </row>
    <row r="10" spans="2:21" ht="36" customHeight="1" thickBot="1">
      <c r="B10" s="80" t="s">
        <v>86</v>
      </c>
      <c r="C10" s="81" t="s">
        <v>75</v>
      </c>
      <c r="D10" s="81" t="s">
        <v>76</v>
      </c>
      <c r="E10" s="120" t="s">
        <v>77</v>
      </c>
      <c r="F10" s="81" t="s">
        <v>78</v>
      </c>
      <c r="G10" s="81" t="s">
        <v>80</v>
      </c>
      <c r="H10" s="81" t="s">
        <v>81</v>
      </c>
      <c r="I10" s="8"/>
      <c r="K10" s="72" t="s">
        <v>125</v>
      </c>
      <c r="L10" s="72" t="s">
        <v>82</v>
      </c>
      <c r="M10" s="78" t="s">
        <v>102</v>
      </c>
      <c r="N10" s="72" t="s">
        <v>119</v>
      </c>
      <c r="O10" s="72" t="s">
        <v>5</v>
      </c>
      <c r="T10" s="152">
        <v>0</v>
      </c>
      <c r="U10" s="152" t="s">
        <v>11</v>
      </c>
    </row>
    <row r="11" spans="2:21" ht="18" customHeight="1" thickBot="1" thickTop="1">
      <c r="B11" s="82" t="s">
        <v>85</v>
      </c>
      <c r="C11" s="121"/>
      <c r="D11" s="121"/>
      <c r="E11" s="121"/>
      <c r="F11" s="121"/>
      <c r="G11" s="121"/>
      <c r="H11" s="121"/>
      <c r="I11" s="8"/>
      <c r="J11" s="5"/>
      <c r="K11" s="83">
        <f>(C11/1.4)+(D11/1.7)</f>
        <v>0</v>
      </c>
      <c r="L11" s="83">
        <f>IF(E10="Bicarbonate (ppm)",(50*E11/61)-K11,E11-K11)</f>
        <v>0</v>
      </c>
      <c r="M11" s="83">
        <f>IF(L11&lt;-69,0,L11*0.082+5.2)</f>
        <v>5.2</v>
      </c>
      <c r="N11" s="84">
        <f>IF(L11&lt;-128,0,(L11+122.4)/12.2)</f>
        <v>10.032786885245903</v>
      </c>
      <c r="O11" s="84" t="e">
        <f>VLOOKUP(H11/G11,T10:U19,2,TRUE)</f>
        <v>#DIV/0!</v>
      </c>
      <c r="T11" s="152">
        <v>0.4</v>
      </c>
      <c r="U11" s="152" t="s">
        <v>12</v>
      </c>
    </row>
    <row r="12" spans="20:21" ht="9" customHeight="1">
      <c r="T12" s="152">
        <v>0.6</v>
      </c>
      <c r="U12" s="152" t="s">
        <v>13</v>
      </c>
    </row>
    <row r="13" spans="2:21" ht="36" customHeight="1" thickBot="1">
      <c r="B13" s="144" t="s">
        <v>113</v>
      </c>
      <c r="C13" s="146"/>
      <c r="D13" s="146"/>
      <c r="E13" s="146"/>
      <c r="F13" s="146"/>
      <c r="G13" s="146"/>
      <c r="H13" s="146"/>
      <c r="I13" s="111"/>
      <c r="J13" s="111"/>
      <c r="K13" s="109"/>
      <c r="L13" s="109"/>
      <c r="M13" s="110"/>
      <c r="N13" s="109"/>
      <c r="O13" s="109"/>
      <c r="T13" s="153">
        <v>0.8</v>
      </c>
      <c r="U13" s="153" t="s">
        <v>14</v>
      </c>
    </row>
    <row r="14" spans="2:21" s="4" customFormat="1" ht="36" customHeight="1" thickBot="1" thickTop="1">
      <c r="B14" s="6" t="s">
        <v>74</v>
      </c>
      <c r="C14" s="7" t="s">
        <v>75</v>
      </c>
      <c r="D14" s="7" t="s">
        <v>76</v>
      </c>
      <c r="E14" s="123" t="s">
        <v>77</v>
      </c>
      <c r="F14" s="7" t="s">
        <v>78</v>
      </c>
      <c r="G14" s="7" t="s">
        <v>80</v>
      </c>
      <c r="H14" s="7" t="s">
        <v>81</v>
      </c>
      <c r="I14" s="7" t="s">
        <v>67</v>
      </c>
      <c r="J14" s="8"/>
      <c r="K14" s="9" t="s">
        <v>125</v>
      </c>
      <c r="L14" s="25" t="s">
        <v>82</v>
      </c>
      <c r="M14" s="26" t="s">
        <v>102</v>
      </c>
      <c r="N14" s="9" t="s">
        <v>119</v>
      </c>
      <c r="O14" s="9" t="s">
        <v>3</v>
      </c>
      <c r="T14" s="152">
        <v>1.5</v>
      </c>
      <c r="U14" s="152" t="s">
        <v>15</v>
      </c>
    </row>
    <row r="15" spans="2:21" s="8" customFormat="1" ht="18" customHeight="1" thickBot="1" thickTop="1">
      <c r="B15" s="10" t="s">
        <v>85</v>
      </c>
      <c r="C15" s="23"/>
      <c r="D15" s="135"/>
      <c r="E15" s="135"/>
      <c r="F15" s="135"/>
      <c r="G15" s="135"/>
      <c r="H15" s="135"/>
      <c r="I15" s="134"/>
      <c r="J15" s="11"/>
      <c r="K15" s="27">
        <f>(C15/1.4)+(D15/1.7)</f>
        <v>0</v>
      </c>
      <c r="L15" s="118">
        <f>IF(E14="Bicarbonate (ppm)",(50*E15/61)-K15,E15-K15)</f>
        <v>0</v>
      </c>
      <c r="M15" s="27">
        <f>IF(L15&lt;-69,0,L15*0.082+5.2)</f>
        <v>5.2</v>
      </c>
      <c r="N15" s="71">
        <f>IF(L15&lt;-128,0,(L15+122.4)/12.2)</f>
        <v>10.032786885245903</v>
      </c>
      <c r="O15" s="71" t="e">
        <f>VLOOKUP(H15/G15,T10:U19,2,TRUE)</f>
        <v>#DIV/0!</v>
      </c>
      <c r="T15" s="152">
        <v>2.01</v>
      </c>
      <c r="U15" s="152" t="s">
        <v>9</v>
      </c>
    </row>
    <row r="16" spans="9:21" s="8" customFormat="1" ht="9" customHeight="1" thickTop="1">
      <c r="I16" s="105"/>
      <c r="T16" s="152">
        <v>4.01</v>
      </c>
      <c r="U16" s="152" t="s">
        <v>10</v>
      </c>
    </row>
    <row r="17" spans="2:21" s="8" customFormat="1" ht="36" customHeight="1" thickBot="1">
      <c r="B17" s="144" t="s">
        <v>115</v>
      </c>
      <c r="C17" s="145"/>
      <c r="D17" s="145"/>
      <c r="E17" s="145"/>
      <c r="F17" s="145"/>
      <c r="G17" s="145"/>
      <c r="H17" s="145"/>
      <c r="I17" s="111"/>
      <c r="J17" s="111"/>
      <c r="K17" s="109"/>
      <c r="L17" s="109"/>
      <c r="M17" s="109"/>
      <c r="N17" s="109"/>
      <c r="O17" s="109"/>
      <c r="T17" s="152">
        <v>6.01</v>
      </c>
      <c r="U17" s="152" t="s">
        <v>6</v>
      </c>
    </row>
    <row r="18" spans="2:21" s="8" customFormat="1" ht="36" customHeight="1" thickBot="1" thickTop="1">
      <c r="B18" s="6" t="s">
        <v>17</v>
      </c>
      <c r="C18" s="7" t="s">
        <v>75</v>
      </c>
      <c r="D18" s="7" t="s">
        <v>76</v>
      </c>
      <c r="E18" s="79" t="str">
        <f>E14</f>
        <v>Alkalinity as CaCO3</v>
      </c>
      <c r="F18" s="7" t="s">
        <v>78</v>
      </c>
      <c r="G18" s="7" t="s">
        <v>80</v>
      </c>
      <c r="H18" s="7" t="s">
        <v>81</v>
      </c>
      <c r="I18" s="93"/>
      <c r="K18" s="9" t="s">
        <v>125</v>
      </c>
      <c r="L18" s="25" t="s">
        <v>82</v>
      </c>
      <c r="M18" s="26" t="s">
        <v>102</v>
      </c>
      <c r="N18" s="9" t="s">
        <v>119</v>
      </c>
      <c r="O18" s="9" t="s">
        <v>3</v>
      </c>
      <c r="T18" s="152">
        <v>8.01</v>
      </c>
      <c r="U18" s="152" t="s">
        <v>8</v>
      </c>
    </row>
    <row r="19" spans="2:21" s="8" customFormat="1" ht="18" customHeight="1" thickBot="1" thickTop="1">
      <c r="B19" s="125">
        <v>0</v>
      </c>
      <c r="C19" s="133">
        <f aca="true" t="shared" si="0" ref="C19:H19">(1-$B19)*C15</f>
        <v>0</v>
      </c>
      <c r="D19" s="133">
        <f t="shared" si="0"/>
        <v>0</v>
      </c>
      <c r="E19" s="133">
        <f t="shared" si="0"/>
        <v>0</v>
      </c>
      <c r="F19" s="133">
        <f t="shared" si="0"/>
        <v>0</v>
      </c>
      <c r="G19" s="133">
        <f t="shared" si="0"/>
        <v>0</v>
      </c>
      <c r="H19" s="133">
        <f t="shared" si="0"/>
        <v>0</v>
      </c>
      <c r="I19" s="93"/>
      <c r="J19" s="11"/>
      <c r="K19" s="27">
        <f>(C19/1.4)+(D19/1.7)</f>
        <v>0</v>
      </c>
      <c r="L19" s="118">
        <f>IF(E18="Bicarbonate (ppm)",(50*E19/61)-K19,E19-K19)</f>
        <v>0</v>
      </c>
      <c r="M19" s="27">
        <f>IF(L19&lt;-69,0,L19*0.082+5.2)</f>
        <v>5.2</v>
      </c>
      <c r="N19" s="71">
        <f>IF(L19&lt;-128,0,(L19+122.4)/12.2)</f>
        <v>10.032786885245903</v>
      </c>
      <c r="O19" s="71" t="e">
        <f>VLOOKUP(H19/G19,T10:U19,2,TRUE)</f>
        <v>#DIV/0!</v>
      </c>
      <c r="T19" s="152">
        <v>9.01</v>
      </c>
      <c r="U19" s="152" t="s">
        <v>7</v>
      </c>
    </row>
    <row r="20" spans="20:21" s="8" customFormat="1" ht="9" customHeight="1" thickTop="1">
      <c r="T20" s="136"/>
      <c r="U20" s="136"/>
    </row>
    <row r="21" spans="2:21" s="8" customFormat="1" ht="36" customHeight="1" thickBot="1">
      <c r="B21" s="147" t="s">
        <v>114</v>
      </c>
      <c r="C21" s="148"/>
      <c r="D21" s="148"/>
      <c r="E21" s="148"/>
      <c r="F21" s="148"/>
      <c r="G21" s="148"/>
      <c r="H21" s="148"/>
      <c r="I21" s="127"/>
      <c r="T21" s="136"/>
      <c r="U21" s="136"/>
    </row>
    <row r="22" spans="2:21" ht="54" customHeight="1" thickBot="1" thickTop="1">
      <c r="B22" s="24" t="s">
        <v>28</v>
      </c>
      <c r="C22" s="23" t="s">
        <v>26</v>
      </c>
      <c r="D22" s="9" t="s">
        <v>110</v>
      </c>
      <c r="E22" s="9" t="s">
        <v>111</v>
      </c>
      <c r="F22" s="9" t="s">
        <v>29</v>
      </c>
      <c r="G22" s="9" t="s">
        <v>87</v>
      </c>
      <c r="H22" s="26" t="s">
        <v>104</v>
      </c>
      <c r="I22" s="9" t="s">
        <v>118</v>
      </c>
      <c r="J22" s="3"/>
      <c r="P22" s="93"/>
      <c r="Q22" s="93"/>
      <c r="R22" s="93"/>
      <c r="S22" s="93"/>
      <c r="T22" s="136"/>
      <c r="U22" s="136"/>
    </row>
    <row r="23" spans="2:21" ht="18" customHeight="1" thickBot="1" thickTop="1">
      <c r="B23" s="122"/>
      <c r="C23" s="124"/>
      <c r="D23" s="128">
        <f>(1-B19)*C23</f>
        <v>0</v>
      </c>
      <c r="E23" s="128">
        <f>(B19)*C23</f>
        <v>0</v>
      </c>
      <c r="F23" s="27">
        <f>IF(L19&gt;B23,(IF(E18="Bicarbonate (ppm)",(50*E19/61),E19)-B23)-K19,0)</f>
        <v>0</v>
      </c>
      <c r="G23" s="27">
        <f>IF(L19&lt;B23,B23-L19,0)</f>
        <v>0</v>
      </c>
      <c r="H23" s="27">
        <f>IF(B23&lt;-69,0,B23*0.082+5.2)</f>
        <v>5.2</v>
      </c>
      <c r="I23" s="71">
        <f>IF(B23&lt;-128,0,(B23+122.4)/12.2)</f>
        <v>10.032786885245903</v>
      </c>
      <c r="J23" s="3"/>
      <c r="P23" s="93"/>
      <c r="Q23" s="93"/>
      <c r="R23" s="93"/>
      <c r="S23" s="93"/>
      <c r="T23" s="136"/>
      <c r="U23" s="136"/>
    </row>
    <row r="24" spans="2:21" ht="9" customHeight="1">
      <c r="B24" s="86"/>
      <c r="C24" s="87"/>
      <c r="D24" s="88"/>
      <c r="E24" s="88"/>
      <c r="F24" s="89"/>
      <c r="G24" s="90"/>
      <c r="J24" s="3"/>
      <c r="P24" s="93"/>
      <c r="Q24" s="93"/>
      <c r="R24" s="93"/>
      <c r="S24" s="93"/>
      <c r="T24" s="136"/>
      <c r="U24" s="136"/>
    </row>
    <row r="25" spans="2:21" ht="36" customHeight="1" thickBot="1">
      <c r="B25" s="139" t="s">
        <v>106</v>
      </c>
      <c r="C25" s="141"/>
      <c r="D25" s="141"/>
      <c r="E25" s="141"/>
      <c r="F25" s="141"/>
      <c r="G25" s="141"/>
      <c r="H25" s="141"/>
      <c r="I25" s="111"/>
      <c r="J25" s="112"/>
      <c r="K25" s="109"/>
      <c r="L25" s="109"/>
      <c r="T25" s="136"/>
      <c r="U25" s="136"/>
    </row>
    <row r="26" spans="2:21" ht="54" customHeight="1" thickBot="1" thickTop="1">
      <c r="B26" s="12" t="s">
        <v>88</v>
      </c>
      <c r="C26" s="7" t="s">
        <v>89</v>
      </c>
      <c r="D26" s="13" t="s">
        <v>90</v>
      </c>
      <c r="E26" s="7" t="s">
        <v>91</v>
      </c>
      <c r="F26" s="7" t="s">
        <v>92</v>
      </c>
      <c r="G26" s="7" t="s">
        <v>93</v>
      </c>
      <c r="H26" s="7" t="s">
        <v>79</v>
      </c>
      <c r="I26" s="3"/>
      <c r="J26" s="3"/>
      <c r="T26" s="136"/>
      <c r="U26" s="136"/>
    </row>
    <row r="27" spans="2:21" ht="18" customHeight="1" thickBot="1" thickTop="1">
      <c r="B27" s="7" t="s">
        <v>124</v>
      </c>
      <c r="C27" s="123"/>
      <c r="D27" s="123"/>
      <c r="E27" s="123"/>
      <c r="F27" s="123"/>
      <c r="G27" s="123"/>
      <c r="H27" s="123"/>
      <c r="K27" s="149" t="s">
        <v>1</v>
      </c>
      <c r="L27" s="149" t="s">
        <v>0</v>
      </c>
      <c r="N27" s="4"/>
      <c r="O27" s="4"/>
      <c r="T27" s="136"/>
      <c r="U27" s="136"/>
    </row>
    <row r="28" spans="2:21" ht="9" customHeight="1" thickBot="1" thickTop="1">
      <c r="B28" s="30"/>
      <c r="C28" s="106"/>
      <c r="D28" s="88"/>
      <c r="E28" s="87"/>
      <c r="J28" s="16"/>
      <c r="K28" s="150"/>
      <c r="L28" s="150"/>
      <c r="N28" s="14"/>
      <c r="T28" s="136"/>
      <c r="U28" s="136"/>
    </row>
    <row r="29" spans="2:21" ht="36" customHeight="1" thickBot="1" thickTop="1">
      <c r="B29" s="15" t="s">
        <v>94</v>
      </c>
      <c r="C29" s="9" t="s">
        <v>75</v>
      </c>
      <c r="D29" s="9" t="s">
        <v>76</v>
      </c>
      <c r="E29" s="9" t="s">
        <v>84</v>
      </c>
      <c r="F29" s="9" t="s">
        <v>78</v>
      </c>
      <c r="G29" s="9" t="s">
        <v>83</v>
      </c>
      <c r="H29" s="9" t="s">
        <v>80</v>
      </c>
      <c r="I29" s="9" t="s">
        <v>81</v>
      </c>
      <c r="K29" s="151"/>
      <c r="L29" s="151"/>
      <c r="N29" s="14"/>
      <c r="P29" s="93"/>
      <c r="Q29" s="93"/>
      <c r="R29" s="93"/>
      <c r="S29" s="93"/>
      <c r="T29" s="136"/>
      <c r="U29" s="136"/>
    </row>
    <row r="30" spans="2:21" ht="18" customHeight="1" thickBot="1">
      <c r="B30" s="17" t="s">
        <v>85</v>
      </c>
      <c r="C30" s="27" t="e">
        <f>(C27*105.8+D27*61.5+E27*72.1)/C23</f>
        <v>#DIV/0!</v>
      </c>
      <c r="D30" s="27" t="e">
        <f>F27*26.1/C23</f>
        <v>#DIV/0!</v>
      </c>
      <c r="E30" s="27" t="e">
        <f>(C27*264.2)/C23</f>
        <v>#DIV/0!</v>
      </c>
      <c r="F30" s="27" t="e">
        <f>G27*72.3/C23+H27*104/C23</f>
        <v>#DIV/0!</v>
      </c>
      <c r="G30" s="27" t="e">
        <f>(G27*191.9*50/61)/C23</f>
        <v>#DIV/0!</v>
      </c>
      <c r="H30" s="27" t="e">
        <f>E27*127.3/C23+H27*160.2/C23</f>
        <v>#DIV/0!</v>
      </c>
      <c r="I30" s="27" t="e">
        <f>(D27*147.4+F27*103)/C23</f>
        <v>#DIV/0!</v>
      </c>
      <c r="J30" s="3"/>
      <c r="K30" s="27" t="e">
        <f>((C30/20)+(D30/12.1))*50</f>
        <v>#DIV/0!</v>
      </c>
      <c r="L30" s="27" t="e">
        <f>E30+G30</f>
        <v>#DIV/0!</v>
      </c>
      <c r="P30" s="93"/>
      <c r="Q30" s="93"/>
      <c r="R30" s="93"/>
      <c r="S30" s="93"/>
      <c r="T30" s="136"/>
      <c r="U30" s="136"/>
    </row>
    <row r="31" spans="16:21" ht="9" customHeight="1">
      <c r="P31" s="93"/>
      <c r="Q31" s="93"/>
      <c r="R31" s="93"/>
      <c r="S31" s="93"/>
      <c r="T31" s="136"/>
      <c r="U31" s="136"/>
    </row>
    <row r="32" spans="2:21" ht="36" customHeight="1" thickBot="1">
      <c r="B32" s="139" t="s">
        <v>109</v>
      </c>
      <c r="C32" s="140"/>
      <c r="D32" s="140"/>
      <c r="E32" s="140"/>
      <c r="F32" s="140"/>
      <c r="G32" s="140"/>
      <c r="H32" s="140"/>
      <c r="I32" s="138"/>
      <c r="J32" s="138"/>
      <c r="K32" s="138"/>
      <c r="L32" s="138"/>
      <c r="P32" s="93"/>
      <c r="Q32" s="93"/>
      <c r="R32" s="93"/>
      <c r="S32" s="93"/>
      <c r="T32" s="136"/>
      <c r="U32" s="136"/>
    </row>
    <row r="33" spans="2:21" ht="54" customHeight="1" thickBot="1" thickTop="1">
      <c r="B33" s="7" t="s">
        <v>20</v>
      </c>
      <c r="C33" s="7" t="s">
        <v>68</v>
      </c>
      <c r="D33" s="107" t="s">
        <v>69</v>
      </c>
      <c r="E33" s="7" t="s">
        <v>27</v>
      </c>
      <c r="K33"/>
      <c r="L33"/>
      <c r="M33"/>
      <c r="T33" s="136"/>
      <c r="U33" s="136"/>
    </row>
    <row r="34" spans="2:21" ht="18" customHeight="1" thickBot="1" thickTop="1">
      <c r="B34" s="7" t="s">
        <v>21</v>
      </c>
      <c r="C34" s="125">
        <v>0.37</v>
      </c>
      <c r="D34" s="108">
        <f>IF(L19&gt;B23,3.785*C23*F23/50/((13.927*C34*C34)+(27.319*C34)),0)</f>
        <v>0</v>
      </c>
      <c r="E34" s="126">
        <v>0</v>
      </c>
      <c r="K34"/>
      <c r="L34"/>
      <c r="M34"/>
      <c r="T34" s="136"/>
      <c r="U34" s="136"/>
    </row>
    <row r="35" spans="2:21" ht="18" customHeight="1" thickBot="1" thickTop="1">
      <c r="B35" s="7" t="s">
        <v>22</v>
      </c>
      <c r="C35" s="125">
        <v>0.88</v>
      </c>
      <c r="D35" s="104">
        <f>IF(L15&gt;B23,0.88/C35*3.785*C23*F23/50/11.8,0)</f>
        <v>0</v>
      </c>
      <c r="E35" s="126">
        <v>0</v>
      </c>
      <c r="I35" s="3"/>
      <c r="J35" s="3"/>
      <c r="K35" s="88"/>
      <c r="L35" s="88"/>
      <c r="M35" s="94"/>
      <c r="T35" s="136"/>
      <c r="U35" s="136"/>
    </row>
    <row r="36" spans="2:21" s="116" customFormat="1" ht="9" customHeight="1">
      <c r="B36" s="87"/>
      <c r="C36" s="106"/>
      <c r="D36" s="88"/>
      <c r="E36" s="87"/>
      <c r="F36" s="117"/>
      <c r="G36" s="117"/>
      <c r="H36" s="117"/>
      <c r="K36" s="88"/>
      <c r="L36" s="88"/>
      <c r="M36" s="94"/>
      <c r="O36" s="3"/>
      <c r="P36" s="3"/>
      <c r="Q36" s="3"/>
      <c r="R36" s="3"/>
      <c r="S36" s="3"/>
      <c r="T36" s="136"/>
      <c r="U36" s="3"/>
    </row>
    <row r="37" spans="2:20" ht="36" customHeight="1" thickBot="1">
      <c r="B37" s="139" t="s">
        <v>116</v>
      </c>
      <c r="C37" s="140"/>
      <c r="D37" s="140"/>
      <c r="E37" s="140"/>
      <c r="F37" s="140"/>
      <c r="G37" s="140"/>
      <c r="H37" s="140"/>
      <c r="I37" s="140"/>
      <c r="J37" s="109"/>
      <c r="K37" s="109"/>
      <c r="L37" s="109"/>
      <c r="M37" s="110"/>
      <c r="N37" s="109"/>
      <c r="O37" s="109"/>
      <c r="T37" s="136"/>
    </row>
    <row r="38" spans="2:20" ht="36" customHeight="1" thickBot="1">
      <c r="B38" s="18" t="s">
        <v>95</v>
      </c>
      <c r="C38" s="9" t="s">
        <v>75</v>
      </c>
      <c r="D38" s="9" t="s">
        <v>76</v>
      </c>
      <c r="E38" s="9" t="s">
        <v>77</v>
      </c>
      <c r="F38" s="9" t="s">
        <v>78</v>
      </c>
      <c r="G38" s="9" t="s">
        <v>80</v>
      </c>
      <c r="H38" s="9" t="s">
        <v>81</v>
      </c>
      <c r="J38" s="14"/>
      <c r="K38" s="9" t="s">
        <v>2</v>
      </c>
      <c r="L38" s="9" t="s">
        <v>82</v>
      </c>
      <c r="M38" s="26" t="s">
        <v>102</v>
      </c>
      <c r="N38" s="9" t="s">
        <v>119</v>
      </c>
      <c r="O38" s="9" t="s">
        <v>3</v>
      </c>
      <c r="T38" s="136"/>
    </row>
    <row r="39" spans="2:20" ht="18" customHeight="1" thickBot="1">
      <c r="B39" s="17" t="s">
        <v>85</v>
      </c>
      <c r="C39" s="27" t="e">
        <f>C19+C30</f>
        <v>#DIV/0!</v>
      </c>
      <c r="D39" s="27" t="e">
        <f>D19+D30</f>
        <v>#DIV/0!</v>
      </c>
      <c r="E39" s="27" t="e">
        <f>IF(E14="Bicarbonate (ppm)",50/61*E19+L30,E19+L30)</f>
        <v>#DIV/0!</v>
      </c>
      <c r="F39" s="27" t="e">
        <f>F19+F30</f>
        <v>#DIV/0!</v>
      </c>
      <c r="G39" s="27" t="e">
        <f>IF(D34=0,G19+H30,G19+H30+(E34*12*C34/0.37*35.4/(C23*3.785)))</f>
        <v>#DIV/0!</v>
      </c>
      <c r="H39" s="27" t="e">
        <f>H19+I30</f>
        <v>#DIV/0!</v>
      </c>
      <c r="J39" s="22"/>
      <c r="K39" s="27" t="e">
        <f>(C39/1.4)+(D39/1.7)</f>
        <v>#DIV/0!</v>
      </c>
      <c r="L39" s="27" t="e">
        <f>E39-K39-(50*E34*((13.927*C34*C34)+(27.319*C34))/(C23*3.785))-(50*E35*C35/0.88*11.8/(C23*3.785))</f>
        <v>#DIV/0!</v>
      </c>
      <c r="M39" s="27" t="e">
        <f>IF(L39&lt;-69,0,L39*0.082+5.2)</f>
        <v>#DIV/0!</v>
      </c>
      <c r="N39" s="71" t="e">
        <f>IF(L39&lt;-128,0,(L39+122.4)/12.2)</f>
        <v>#DIV/0!</v>
      </c>
      <c r="O39" s="71" t="e">
        <f>VLOOKUP(H39/G39,T10:U19,2,TRUE)</f>
        <v>#DIV/0!</v>
      </c>
      <c r="T39" s="136"/>
    </row>
    <row r="40" spans="13:15" ht="9" customHeight="1" thickBot="1">
      <c r="M40" s="93"/>
      <c r="N40" s="93"/>
      <c r="O40" s="93"/>
    </row>
    <row r="41" spans="2:15" ht="9" customHeight="1">
      <c r="B41" s="95"/>
      <c r="C41" s="74"/>
      <c r="D41" s="74"/>
      <c r="E41" s="74"/>
      <c r="F41" s="73"/>
      <c r="G41" s="73"/>
      <c r="H41" s="73"/>
      <c r="I41" s="73"/>
      <c r="J41" s="73"/>
      <c r="K41" s="74"/>
      <c r="L41" s="74"/>
      <c r="M41" s="96"/>
      <c r="N41" s="96"/>
      <c r="O41" s="96"/>
    </row>
    <row r="42" spans="2:15" ht="36" customHeight="1" thickBot="1">
      <c r="B42" s="98" t="s">
        <v>117</v>
      </c>
      <c r="C42" s="99"/>
      <c r="D42" s="99"/>
      <c r="E42" s="99"/>
      <c r="F42" s="5"/>
      <c r="G42" s="5"/>
      <c r="H42" s="5"/>
      <c r="I42" s="5"/>
      <c r="J42" s="5"/>
      <c r="K42" s="85"/>
      <c r="L42" s="85"/>
      <c r="M42" s="97"/>
      <c r="N42" s="97"/>
      <c r="O42" s="97"/>
    </row>
    <row r="43" spans="2:4" ht="54" customHeight="1" thickBot="1" thickTop="1">
      <c r="B43" s="91" t="s">
        <v>122</v>
      </c>
      <c r="C43" s="91" t="s">
        <v>123</v>
      </c>
      <c r="D43" s="7" t="s">
        <v>23</v>
      </c>
    </row>
    <row r="44" spans="2:9" ht="18" customHeight="1" thickBot="1" thickTop="1">
      <c r="B44" s="129">
        <v>8</v>
      </c>
      <c r="C44" s="132">
        <v>6</v>
      </c>
      <c r="D44" s="124"/>
      <c r="G44" s="92"/>
      <c r="H44" s="92"/>
      <c r="I44" s="92"/>
    </row>
    <row r="45" spans="2:9" ht="13.5" thickBot="1" thickTop="1">
      <c r="B45" s="101"/>
      <c r="C45" s="100"/>
      <c r="G45" s="92"/>
      <c r="H45" s="92"/>
      <c r="I45" s="119"/>
    </row>
    <row r="46" spans="2:9" ht="54" customHeight="1" thickBot="1" thickTop="1">
      <c r="B46" s="7" t="s">
        <v>20</v>
      </c>
      <c r="C46" s="7" t="s">
        <v>68</v>
      </c>
      <c r="D46" s="7" t="s">
        <v>101</v>
      </c>
      <c r="G46" s="92"/>
      <c r="H46" s="92"/>
      <c r="I46" s="92"/>
    </row>
    <row r="47" spans="2:9" ht="18" customHeight="1" thickBot="1" thickTop="1">
      <c r="B47" s="7" t="s">
        <v>21</v>
      </c>
      <c r="C47" s="125">
        <v>0.37</v>
      </c>
      <c r="D47" s="104">
        <f>IF(B44&gt;C44,3.785*D44*Scratch!P28/((13.927*C47*C47)+(27.319*C47)),0)</f>
        <v>0</v>
      </c>
      <c r="E47" s="92"/>
      <c r="F47" s="92"/>
      <c r="G47" s="92"/>
      <c r="H47" s="92"/>
      <c r="I47" s="92"/>
    </row>
    <row r="48" spans="2:8" ht="18" customHeight="1" thickBot="1" thickTop="1">
      <c r="B48" s="7" t="s">
        <v>22</v>
      </c>
      <c r="C48" s="125">
        <v>0.88</v>
      </c>
      <c r="D48" s="103">
        <f>IF(B44&gt;C44,0.88/C48*3.785*D44*Scratch!P30/11.8,0)</f>
        <v>0</v>
      </c>
      <c r="G48" s="3"/>
      <c r="H48" s="3"/>
    </row>
    <row r="49" ht="12" thickTop="1">
      <c r="D49" s="102"/>
    </row>
    <row r="50" spans="7:8" ht="10.5">
      <c r="G50" s="3"/>
      <c r="H50" s="3"/>
    </row>
    <row r="52" spans="7:8" ht="10.5">
      <c r="G52" s="3"/>
      <c r="H52" s="3"/>
    </row>
  </sheetData>
  <mergeCells count="10">
    <mergeCell ref="L27:L29"/>
    <mergeCell ref="K27:K29"/>
    <mergeCell ref="B32:L32"/>
    <mergeCell ref="B25:H25"/>
    <mergeCell ref="B37:I37"/>
    <mergeCell ref="B1:I1"/>
    <mergeCell ref="B17:H17"/>
    <mergeCell ref="B13:H13"/>
    <mergeCell ref="B5:I6"/>
    <mergeCell ref="B21:H21"/>
  </mergeCells>
  <conditionalFormatting sqref="H39">
    <cfRule type="cellIs" priority="1" dxfId="0" operator="greaterThan" stopIfTrue="1">
      <formula>350</formula>
    </cfRule>
  </conditionalFormatting>
  <conditionalFormatting sqref="D39">
    <cfRule type="cellIs" priority="2" dxfId="0" operator="greaterThan" stopIfTrue="1">
      <formula>50</formula>
    </cfRule>
  </conditionalFormatting>
  <conditionalFormatting sqref="G39">
    <cfRule type="cellIs" priority="3" dxfId="0" operator="greaterThan" stopIfTrue="1">
      <formula>250</formula>
    </cfRule>
  </conditionalFormatting>
  <conditionalFormatting sqref="C8:D8 L39 L19">
    <cfRule type="cellIs" priority="4" dxfId="0" operator="greaterThan" stopIfTrue="1">
      <formula>300</formula>
    </cfRule>
  </conditionalFormatting>
  <conditionalFormatting sqref="F39">
    <cfRule type="cellIs" priority="5" dxfId="0" operator="greaterThan" stopIfTrue="1">
      <formula>100</formula>
    </cfRule>
  </conditionalFormatting>
  <dataValidations count="1">
    <dataValidation type="list" allowBlank="1" showInputMessage="1" showErrorMessage="1" sqref="E14 E10">
      <formula1>Carbo</formula1>
    </dataValidation>
  </dataValidations>
  <printOptions/>
  <pageMargins left="0.75" right="0.75" top="1" bottom="1" header="0.5" footer="0.5"/>
  <pageSetup orientation="portrait"/>
  <legacyDrawing r:id="rId2"/>
</worksheet>
</file>

<file path=xl/worksheets/sheet3.xml><?xml version="1.0" encoding="utf-8"?>
<worksheet xmlns="http://schemas.openxmlformats.org/spreadsheetml/2006/main" xmlns:r="http://schemas.openxmlformats.org/officeDocument/2006/relationships">
  <dimension ref="A1:AE45"/>
  <sheetViews>
    <sheetView workbookViewId="0" topLeftCell="A1">
      <selection activeCell="D12" sqref="D12"/>
    </sheetView>
  </sheetViews>
  <sheetFormatPr defaultColWidth="10.625" defaultRowHeight="12.75"/>
  <cols>
    <col min="1" max="16384" width="10.625" style="35" customWidth="1"/>
  </cols>
  <sheetData>
    <row r="1" spans="2:28" ht="15">
      <c r="B1" s="28" t="s">
        <v>73</v>
      </c>
      <c r="C1" s="31"/>
      <c r="D1" s="32"/>
      <c r="E1" s="31"/>
      <c r="F1" s="31"/>
      <c r="G1" s="31"/>
      <c r="H1" s="33"/>
      <c r="I1" s="31"/>
      <c r="J1" s="31"/>
      <c r="K1" s="31"/>
      <c r="L1" s="31"/>
      <c r="M1" s="34"/>
      <c r="N1" s="34"/>
      <c r="O1" s="34"/>
      <c r="P1" s="34"/>
      <c r="Q1" s="34"/>
      <c r="R1" s="34"/>
      <c r="S1" s="34"/>
      <c r="T1" s="34"/>
      <c r="U1" s="34"/>
      <c r="V1" s="34"/>
      <c r="W1" s="34"/>
      <c r="X1" s="34"/>
      <c r="Y1" s="34"/>
      <c r="Z1" s="34"/>
      <c r="AA1" s="34"/>
      <c r="AB1" s="34"/>
    </row>
    <row r="2" spans="4:28" ht="12.75">
      <c r="D2" s="36"/>
      <c r="H2" s="37"/>
      <c r="M2" s="34"/>
      <c r="N2" s="42"/>
      <c r="O2" s="42"/>
      <c r="P2" s="42"/>
      <c r="Q2" s="42"/>
      <c r="R2" s="42"/>
      <c r="S2" s="42"/>
      <c r="T2" s="42"/>
      <c r="U2" s="42"/>
      <c r="V2" s="42"/>
      <c r="W2" s="34"/>
      <c r="X2" s="34"/>
      <c r="Y2" s="34"/>
      <c r="Z2" s="34"/>
      <c r="AA2" s="34"/>
      <c r="AB2" s="34"/>
    </row>
    <row r="3" spans="8:28" ht="12.75">
      <c r="H3" s="38"/>
      <c r="J3" s="47" t="s">
        <v>42</v>
      </c>
      <c r="M3" s="66"/>
      <c r="N3" s="34"/>
      <c r="O3" s="34"/>
      <c r="P3" s="34"/>
      <c r="Q3" s="34"/>
      <c r="R3" s="34"/>
      <c r="S3" s="34"/>
      <c r="T3" s="34"/>
      <c r="U3" s="34"/>
      <c r="V3" s="34"/>
      <c r="W3" s="34"/>
      <c r="X3" s="34"/>
      <c r="Y3" s="34"/>
      <c r="Z3" s="34"/>
      <c r="AA3" s="34"/>
      <c r="AB3" s="34"/>
    </row>
    <row r="4" spans="1:28" ht="12.75">
      <c r="A4" s="69" t="s">
        <v>98</v>
      </c>
      <c r="B4" s="34"/>
      <c r="C4" s="34"/>
      <c r="D4" s="34"/>
      <c r="E4" s="34" t="s">
        <v>30</v>
      </c>
      <c r="F4" s="34" t="s">
        <v>31</v>
      </c>
      <c r="G4" s="34" t="s">
        <v>32</v>
      </c>
      <c r="H4" s="38"/>
      <c r="I4"/>
      <c r="J4" s="47" t="s">
        <v>66</v>
      </c>
      <c r="K4"/>
      <c r="M4" s="66"/>
      <c r="N4" s="34"/>
      <c r="O4" s="34"/>
      <c r="P4" s="34"/>
      <c r="Q4" s="34"/>
      <c r="R4" s="34"/>
      <c r="S4" s="34"/>
      <c r="T4" s="34"/>
      <c r="U4" s="34"/>
      <c r="V4" s="34"/>
      <c r="W4" s="42"/>
      <c r="X4" s="42"/>
      <c r="Y4" s="42"/>
      <c r="Z4" s="42"/>
      <c r="AA4" s="42"/>
      <c r="AB4" s="42"/>
    </row>
    <row r="5" spans="1:28" ht="12.75">
      <c r="A5" s="34" t="s">
        <v>33</v>
      </c>
      <c r="B5" s="34" t="s">
        <v>34</v>
      </c>
      <c r="C5" s="34" t="s">
        <v>35</v>
      </c>
      <c r="D5" s="34" t="s">
        <v>36</v>
      </c>
      <c r="E5" s="34" t="s">
        <v>37</v>
      </c>
      <c r="F5" s="34" t="s">
        <v>38</v>
      </c>
      <c r="G5" s="34" t="s">
        <v>39</v>
      </c>
      <c r="H5" s="38"/>
      <c r="I5"/>
      <c r="K5"/>
      <c r="M5" s="66"/>
      <c r="N5" s="34"/>
      <c r="O5" s="34"/>
      <c r="P5" s="34"/>
      <c r="Q5" s="34"/>
      <c r="R5" s="34"/>
      <c r="S5" s="34"/>
      <c r="T5" s="34"/>
      <c r="U5" s="34"/>
      <c r="V5" s="34"/>
      <c r="W5" s="42"/>
      <c r="X5" s="42"/>
      <c r="Y5" s="42"/>
      <c r="Z5" s="42"/>
      <c r="AA5" s="42"/>
      <c r="AB5" s="42"/>
    </row>
    <row r="6" spans="1:28" ht="12.75">
      <c r="A6" s="39">
        <f>Mash!B44</f>
        <v>8</v>
      </c>
      <c r="B6" s="40">
        <f>10^(A6-6.38)</f>
        <v>41.68693834703356</v>
      </c>
      <c r="C6" s="40">
        <f>10^(A6-10.33)</f>
        <v>0.004677351412871978</v>
      </c>
      <c r="D6" s="40">
        <f>1+B6+B6*C6</f>
        <v>42.88192280700937</v>
      </c>
      <c r="E6" s="41">
        <f>1/D6</f>
        <v>0.023319849823444545</v>
      </c>
      <c r="F6" s="41">
        <f>B6/D6</f>
        <v>0.9721331418520142</v>
      </c>
      <c r="G6" s="41">
        <f>B6*C6/D6</f>
        <v>0.004547008324541193</v>
      </c>
      <c r="H6" s="38"/>
      <c r="I6"/>
      <c r="K6"/>
      <c r="N6" s="34"/>
      <c r="O6" s="34"/>
      <c r="P6" s="34"/>
      <c r="Q6" s="34"/>
      <c r="R6" s="34"/>
      <c r="S6" s="34"/>
      <c r="T6" s="34"/>
      <c r="U6" s="34"/>
      <c r="V6" s="34"/>
      <c r="W6" s="42"/>
      <c r="X6" s="42"/>
      <c r="Y6" s="42"/>
      <c r="Z6" s="42"/>
      <c r="AA6" s="42"/>
      <c r="AB6" s="42"/>
    </row>
    <row r="7" spans="1:28" ht="12.75">
      <c r="A7" s="39">
        <f>Mash!C44</f>
        <v>6</v>
      </c>
      <c r="B7" s="43">
        <f>10^(Mash!C44-6.38)</f>
        <v>0.4168693834703355</v>
      </c>
      <c r="C7" s="43">
        <f>10^(Mash!C44-10.33)</f>
        <v>4.677351412871976E-05</v>
      </c>
      <c r="D7" s="43">
        <f>1+B7+B7*C7</f>
        <v>1.416888881916333</v>
      </c>
      <c r="E7" s="44">
        <f>1/D7</f>
        <v>0.705771647136864</v>
      </c>
      <c r="F7" s="44">
        <f>B7/D7</f>
        <v>0.29421459141278766</v>
      </c>
      <c r="G7" s="44">
        <f>B7*C7/D7</f>
        <v>1.3761450348321536E-05</v>
      </c>
      <c r="H7" s="34"/>
      <c r="I7"/>
      <c r="J7" s="35" t="s">
        <v>77</v>
      </c>
      <c r="K7"/>
      <c r="M7" s="34"/>
      <c r="N7" s="34"/>
      <c r="O7" s="34"/>
      <c r="V7" s="34"/>
      <c r="W7" s="42"/>
      <c r="X7" s="42"/>
      <c r="Y7" s="42"/>
      <c r="Z7" s="42"/>
      <c r="AA7" s="42"/>
      <c r="AB7" s="42"/>
    </row>
    <row r="8" spans="1:28" ht="12.75">
      <c r="A8" s="39">
        <v>4.3</v>
      </c>
      <c r="B8" s="45">
        <f>10^(4.3-6.38)</f>
        <v>0.008317637711026706</v>
      </c>
      <c r="C8" s="45">
        <f>10^(4.3-10.33)</f>
        <v>9.332543007969901E-07</v>
      </c>
      <c r="D8" s="45">
        <f>1+B8+B8*C8</f>
        <v>1.008317645473498</v>
      </c>
      <c r="E8" s="41">
        <f>1/D8</f>
        <v>0.9917509670580128</v>
      </c>
      <c r="F8" s="41">
        <f>B8/D8</f>
        <v>0.008249025243548931</v>
      </c>
      <c r="G8" s="41">
        <f>B8*C8/D8</f>
        <v>7.698438285924979E-09</v>
      </c>
      <c r="H8" s="34"/>
      <c r="I8"/>
      <c r="J8" s="35" t="s">
        <v>44</v>
      </c>
      <c r="K8"/>
      <c r="M8" s="67"/>
      <c r="N8" s="34"/>
      <c r="O8" s="34"/>
      <c r="V8" s="34"/>
      <c r="W8" s="42"/>
      <c r="X8" s="42"/>
      <c r="Y8" s="42"/>
      <c r="Z8" s="42"/>
      <c r="AA8" s="42"/>
      <c r="AB8" s="42"/>
    </row>
    <row r="9" spans="8:28" ht="12.75">
      <c r="H9" s="42"/>
      <c r="M9" s="67"/>
      <c r="N9" s="34"/>
      <c r="O9" s="34"/>
      <c r="P9" s="34"/>
      <c r="Q9" s="34"/>
      <c r="R9" s="34"/>
      <c r="S9" s="34"/>
      <c r="T9" s="34"/>
      <c r="U9" s="68"/>
      <c r="V9" s="34"/>
      <c r="W9" s="42"/>
      <c r="X9" s="42"/>
      <c r="Y9" s="42"/>
      <c r="Z9" s="42"/>
      <c r="AA9" s="42"/>
      <c r="AB9" s="42"/>
    </row>
    <row r="10" spans="4:28" ht="13.5" thickBot="1">
      <c r="D10" s="36"/>
      <c r="H10" s="42" t="s">
        <v>40</v>
      </c>
      <c r="I10" s="46"/>
      <c r="N10" s="34"/>
      <c r="O10" s="34"/>
      <c r="P10" s="34"/>
      <c r="Q10" s="34"/>
      <c r="R10" s="34"/>
      <c r="S10" s="34"/>
      <c r="T10" s="34"/>
      <c r="U10" s="68"/>
      <c r="V10" s="34"/>
      <c r="W10" s="42"/>
      <c r="X10" s="42"/>
      <c r="Y10" s="42"/>
      <c r="Z10" s="42"/>
      <c r="AA10" s="42"/>
      <c r="AB10" s="42"/>
    </row>
    <row r="11" spans="2:28" ht="13.5" thickBot="1">
      <c r="B11" s="48" t="s">
        <v>47</v>
      </c>
      <c r="C11" s="49"/>
      <c r="D11" s="50"/>
      <c r="E11" s="49"/>
      <c r="F11"/>
      <c r="G11"/>
      <c r="N11" s="34"/>
      <c r="O11" s="34"/>
      <c r="P11" s="34"/>
      <c r="Q11" s="34"/>
      <c r="R11" s="34"/>
      <c r="S11" s="34"/>
      <c r="T11" s="34"/>
      <c r="U11" s="68"/>
      <c r="V11" s="34"/>
      <c r="W11" s="42"/>
      <c r="X11" s="42"/>
      <c r="Y11" s="42"/>
      <c r="Z11" s="42"/>
      <c r="AA11" s="42"/>
      <c r="AB11" s="42"/>
    </row>
    <row r="12" spans="2:28" ht="12.75">
      <c r="B12" s="51" t="s">
        <v>48</v>
      </c>
      <c r="C12" s="52"/>
      <c r="D12" s="53">
        <f>IF(Mash!E14="Alkalinity as CaCO3",Mash!E19,Mash!E19*50/61)</f>
        <v>0</v>
      </c>
      <c r="E12" s="52"/>
      <c r="F12"/>
      <c r="G12"/>
      <c r="H12" s="38"/>
      <c r="N12" s="34"/>
      <c r="O12" s="34"/>
      <c r="P12" s="34"/>
      <c r="Q12" s="34"/>
      <c r="R12" s="34"/>
      <c r="S12" s="34"/>
      <c r="T12" s="34"/>
      <c r="U12" s="68"/>
      <c r="V12" s="34"/>
      <c r="W12" s="42"/>
      <c r="X12" s="42"/>
      <c r="Y12" s="42"/>
      <c r="Z12" s="42"/>
      <c r="AA12" s="42"/>
      <c r="AB12" s="42"/>
    </row>
    <row r="13" spans="2:28" ht="12.75">
      <c r="B13" s="55" t="s">
        <v>49</v>
      </c>
      <c r="C13" s="47"/>
      <c r="D13" s="56">
        <f>D12/50</f>
        <v>0</v>
      </c>
      <c r="E13" s="47" t="s">
        <v>46</v>
      </c>
      <c r="F13"/>
      <c r="G13"/>
      <c r="H13" s="37"/>
      <c r="M13" s="42"/>
      <c r="N13" s="42"/>
      <c r="O13" s="42"/>
      <c r="P13" s="42"/>
      <c r="Q13" s="42"/>
      <c r="R13" s="42"/>
      <c r="S13" s="42"/>
      <c r="T13" s="42"/>
      <c r="U13" s="42"/>
      <c r="V13" s="42"/>
      <c r="W13" s="42"/>
      <c r="X13" s="42"/>
      <c r="Y13" s="42"/>
      <c r="Z13" s="42"/>
      <c r="AA13" s="42"/>
      <c r="AB13" s="42"/>
    </row>
    <row r="14" spans="2:28" ht="12.75">
      <c r="B14" s="29" t="s">
        <v>50</v>
      </c>
      <c r="C14" s="57"/>
      <c r="D14" s="58">
        <f>Mash!B44</f>
        <v>8</v>
      </c>
      <c r="E14" s="59"/>
      <c r="F14"/>
      <c r="G14"/>
      <c r="H14" s="38"/>
      <c r="M14" s="42"/>
      <c r="N14" s="42"/>
      <c r="O14" s="42"/>
      <c r="P14" s="42"/>
      <c r="Q14" s="42"/>
      <c r="R14" s="42"/>
      <c r="S14" s="42"/>
      <c r="T14" s="42"/>
      <c r="U14" s="42"/>
      <c r="V14" s="42"/>
      <c r="W14" s="42"/>
      <c r="X14" s="42"/>
      <c r="Y14" s="42"/>
      <c r="Z14" s="42"/>
      <c r="AA14" s="42"/>
      <c r="AB14" s="42"/>
    </row>
    <row r="15" spans="2:31" ht="12.75">
      <c r="B15" s="55" t="s">
        <v>97</v>
      </c>
      <c r="C15" s="47"/>
      <c r="D15" s="60">
        <f>E6</f>
        <v>0.023319849823444545</v>
      </c>
      <c r="E15" s="38"/>
      <c r="F15"/>
      <c r="G15"/>
      <c r="H15" s="38"/>
      <c r="I15" s="37"/>
      <c r="J15" s="37"/>
      <c r="K15" s="37"/>
      <c r="L15" s="37"/>
      <c r="M15" s="54"/>
      <c r="N15" s="54"/>
      <c r="O15" s="54"/>
      <c r="P15" s="54"/>
      <c r="Q15" s="42"/>
      <c r="R15" s="54"/>
      <c r="S15" s="54"/>
      <c r="T15" s="54"/>
      <c r="U15" s="54"/>
      <c r="V15" s="54"/>
      <c r="W15" s="54"/>
      <c r="X15" s="54"/>
      <c r="Y15" s="54"/>
      <c r="Z15" s="54"/>
      <c r="AA15" s="54"/>
      <c r="AB15" s="54"/>
      <c r="AC15" s="37"/>
      <c r="AD15" s="37"/>
      <c r="AE15" s="37"/>
    </row>
    <row r="16" spans="2:28" ht="12.75">
      <c r="B16" s="55" t="s">
        <v>64</v>
      </c>
      <c r="C16" s="47"/>
      <c r="D16" s="60">
        <f>F6</f>
        <v>0.9721331418520142</v>
      </c>
      <c r="E16" s="38"/>
      <c r="F16"/>
      <c r="G16"/>
      <c r="H16" s="38"/>
      <c r="Y16" s="42"/>
      <c r="Z16" s="42"/>
      <c r="AA16" s="42"/>
      <c r="AB16" s="42"/>
    </row>
    <row r="17" spans="2:28" ht="12.75">
      <c r="B17" s="55" t="s">
        <v>65</v>
      </c>
      <c r="C17" s="47"/>
      <c r="D17" s="60">
        <f>G6</f>
        <v>0.004547008324541193</v>
      </c>
      <c r="E17" s="38"/>
      <c r="F17"/>
      <c r="G17"/>
      <c r="H17" s="59"/>
      <c r="Y17" s="42"/>
      <c r="Z17" s="42"/>
      <c r="AA17" s="42"/>
      <c r="AB17" s="42"/>
    </row>
    <row r="18" spans="2:28" ht="12.75">
      <c r="B18" s="29" t="s">
        <v>50</v>
      </c>
      <c r="C18" s="57"/>
      <c r="D18" s="58">
        <f>Mash!C44</f>
        <v>6</v>
      </c>
      <c r="E18" s="59"/>
      <c r="F18"/>
      <c r="G18"/>
      <c r="H18" s="38"/>
      <c r="Y18" s="42"/>
      <c r="Z18" s="42"/>
      <c r="AA18" s="42"/>
      <c r="AB18" s="42"/>
    </row>
    <row r="19" spans="2:31" ht="12.75">
      <c r="B19" s="55" t="s">
        <v>97</v>
      </c>
      <c r="C19" s="47"/>
      <c r="D19" s="60">
        <f>E7</f>
        <v>0.705771647136864</v>
      </c>
      <c r="E19" s="38"/>
      <c r="F19"/>
      <c r="G19"/>
      <c r="H19" s="38"/>
      <c r="Y19" s="54"/>
      <c r="Z19" s="54"/>
      <c r="AA19" s="54"/>
      <c r="AB19" s="54"/>
      <c r="AC19" s="37"/>
      <c r="AD19" s="37"/>
      <c r="AE19" s="37"/>
    </row>
    <row r="20" spans="2:28" ht="12.75">
      <c r="B20" s="55" t="s">
        <v>64</v>
      </c>
      <c r="C20" s="47"/>
      <c r="D20" s="60">
        <f>F7</f>
        <v>0.29421459141278766</v>
      </c>
      <c r="E20" s="47"/>
      <c r="F20"/>
      <c r="G20"/>
      <c r="H20" s="38"/>
      <c r="Y20" s="42"/>
      <c r="Z20" s="42"/>
      <c r="AA20" s="42"/>
      <c r="AB20" s="42"/>
    </row>
    <row r="21" spans="2:28" ht="12.75">
      <c r="B21" s="55" t="s">
        <v>65</v>
      </c>
      <c r="C21" s="47"/>
      <c r="D21" s="61">
        <f>G7</f>
        <v>1.3761450348321536E-05</v>
      </c>
      <c r="E21" s="47"/>
      <c r="F21"/>
      <c r="G21"/>
      <c r="H21" s="59"/>
      <c r="Y21" s="42"/>
      <c r="Z21" s="42"/>
      <c r="AA21" s="42"/>
      <c r="AB21" s="42"/>
    </row>
    <row r="22" spans="2:8" ht="12.75">
      <c r="B22" s="70" t="s">
        <v>99</v>
      </c>
      <c r="D22" s="45">
        <f>D13/((E8-E6)+(G6-G8))</f>
        <v>0</v>
      </c>
      <c r="E22" s="35" t="s">
        <v>46</v>
      </c>
      <c r="F22"/>
      <c r="G22"/>
      <c r="H22" s="38"/>
    </row>
    <row r="23" spans="2:8" ht="12.75">
      <c r="B23" s="55" t="s">
        <v>100</v>
      </c>
      <c r="C23" s="47"/>
      <c r="D23" s="63">
        <f>D22*((D19-E6)+(G6-D21))+10^(-Mash!C44)-10^(-A6)</f>
        <v>9.9E-07</v>
      </c>
      <c r="E23" s="47" t="s">
        <v>71</v>
      </c>
      <c r="H23" s="38"/>
    </row>
    <row r="24" ht="12.75">
      <c r="H24" s="38"/>
    </row>
    <row r="25" spans="1:16" ht="12.75">
      <c r="A25" s="42" t="s">
        <v>51</v>
      </c>
      <c r="B25" s="42"/>
      <c r="C25" s="42" t="s">
        <v>52</v>
      </c>
      <c r="D25" s="42" t="s">
        <v>53</v>
      </c>
      <c r="E25" s="42" t="s">
        <v>54</v>
      </c>
      <c r="F25" s="42" t="s">
        <v>55</v>
      </c>
      <c r="G25" s="42" t="s">
        <v>56</v>
      </c>
      <c r="H25" s="42" t="s">
        <v>57</v>
      </c>
      <c r="I25" s="42" t="s">
        <v>58</v>
      </c>
      <c r="J25" s="42" t="s">
        <v>59</v>
      </c>
      <c r="K25" s="42" t="s">
        <v>60</v>
      </c>
      <c r="L25" s="42" t="s">
        <v>61</v>
      </c>
      <c r="M25" s="42" t="s">
        <v>62</v>
      </c>
      <c r="N25" s="42" t="s">
        <v>63</v>
      </c>
      <c r="O25" s="42" t="s">
        <v>70</v>
      </c>
      <c r="P25" s="42"/>
    </row>
    <row r="26" ht="12.75">
      <c r="P26" s="42"/>
    </row>
    <row r="27" ht="12.75">
      <c r="P27" s="62" t="s">
        <v>96</v>
      </c>
    </row>
    <row r="28" spans="1:16" ht="12.75">
      <c r="A28" s="42" t="s">
        <v>45</v>
      </c>
      <c r="B28" s="42">
        <v>36.46</v>
      </c>
      <c r="C28" s="42">
        <v>-10</v>
      </c>
      <c r="D28" s="42">
        <v>20</v>
      </c>
      <c r="E28" s="42">
        <v>20</v>
      </c>
      <c r="F28" s="42">
        <f>Mash!C$44</f>
        <v>6</v>
      </c>
      <c r="G28" s="42">
        <f aca="true" t="shared" si="0" ref="G28:I31">10^($F28-C28)</f>
        <v>10000000000000000</v>
      </c>
      <c r="H28" s="42">
        <f t="shared" si="0"/>
        <v>1E-14</v>
      </c>
      <c r="I28" s="42">
        <f t="shared" si="0"/>
        <v>1E-14</v>
      </c>
      <c r="J28" s="42">
        <f>1/(1+G28+G28*H28+G28*H28*I28)</f>
        <v>9.9999999999999E-17</v>
      </c>
      <c r="K28" s="42">
        <f>J28</f>
        <v>9.9999999999999E-17</v>
      </c>
      <c r="L28" s="42">
        <f>K28*G28</f>
        <v>0.99999999999999</v>
      </c>
      <c r="M28" s="42">
        <f>G28*H28*J28</f>
        <v>9.9999999999999E-15</v>
      </c>
      <c r="N28" s="42">
        <f>G28*H28*I28*J28</f>
        <v>9.9999999999999E-29</v>
      </c>
      <c r="O28" s="64">
        <f>L28+2*M28+3*N28</f>
        <v>1.00000000000001</v>
      </c>
      <c r="P28" s="65">
        <f>D$23/O28</f>
        <v>9.8999999999999E-07</v>
      </c>
    </row>
    <row r="29" spans="1:28" ht="12.75">
      <c r="A29" s="42" t="s">
        <v>43</v>
      </c>
      <c r="B29" s="42">
        <v>98</v>
      </c>
      <c r="C29" s="42">
        <v>2.12</v>
      </c>
      <c r="D29" s="42">
        <v>7.2</v>
      </c>
      <c r="E29" s="42">
        <v>12.44</v>
      </c>
      <c r="F29" s="42">
        <f>Mash!C$44</f>
        <v>6</v>
      </c>
      <c r="G29" s="42">
        <f aca="true" t="shared" si="1" ref="G29:I30">10^($F29-C29)</f>
        <v>7585.775750291839</v>
      </c>
      <c r="H29" s="42">
        <f t="shared" si="1"/>
        <v>0.06309573444801929</v>
      </c>
      <c r="I29" s="42">
        <f t="shared" si="1"/>
        <v>3.630780547701011E-07</v>
      </c>
      <c r="J29" s="42">
        <f>1/(1+G29+G29*H29+G29*H29*I29)</f>
        <v>0.00012398631860160528</v>
      </c>
      <c r="K29" s="42">
        <f>J29</f>
        <v>0.00012398631860160528</v>
      </c>
      <c r="L29" s="42">
        <f>K29*G29</f>
        <v>0.9405324090160153</v>
      </c>
      <c r="M29" s="42">
        <f>G29*H29*J29</f>
        <v>0.05934358311903037</v>
      </c>
      <c r="N29" s="42">
        <f>G29*H29*I29*J29</f>
        <v>2.1546352721945355E-08</v>
      </c>
      <c r="O29" s="64">
        <f>L29+2*M29+3*N29</f>
        <v>1.0592196398931342</v>
      </c>
      <c r="P29" s="65">
        <f>D$23/O29</f>
        <v>9.34650343246923E-07</v>
      </c>
      <c r="AB29" s="62"/>
    </row>
    <row r="30" spans="1:28" ht="12.75">
      <c r="A30" s="42" t="s">
        <v>41</v>
      </c>
      <c r="B30" s="42">
        <v>90.08</v>
      </c>
      <c r="C30" s="42">
        <v>3.08</v>
      </c>
      <c r="D30" s="42">
        <v>20</v>
      </c>
      <c r="E30" s="42">
        <v>20</v>
      </c>
      <c r="F30" s="42">
        <f>Mash!C$44</f>
        <v>6</v>
      </c>
      <c r="G30" s="42">
        <f t="shared" si="1"/>
        <v>831.7637711026714</v>
      </c>
      <c r="H30" s="42">
        <f t="shared" si="1"/>
        <v>1E-14</v>
      </c>
      <c r="I30" s="42">
        <f t="shared" si="1"/>
        <v>1E-14</v>
      </c>
      <c r="J30" s="42">
        <f>1/(1+G30+G30*H30+G30*H30*I30)</f>
        <v>0.001200820730560696</v>
      </c>
      <c r="K30" s="42">
        <f>J30</f>
        <v>0.001200820730560696</v>
      </c>
      <c r="L30" s="42">
        <f>K30*G30</f>
        <v>0.9987991792694293</v>
      </c>
      <c r="M30" s="42">
        <f>G30*H30*J30</f>
        <v>9.987991792694293E-15</v>
      </c>
      <c r="N30" s="42">
        <f>G30*H30*I30*J30</f>
        <v>9.987991792694293E-29</v>
      </c>
      <c r="O30" s="64">
        <f>L30+2*M30+3*N30</f>
        <v>0.9987991792694493</v>
      </c>
      <c r="P30" s="65">
        <f>D$23/O30</f>
        <v>9.911902417902614E-07</v>
      </c>
      <c r="Q30" s="42"/>
      <c r="R30" s="42"/>
      <c r="S30" s="42"/>
      <c r="T30" s="42"/>
      <c r="U30" s="42"/>
      <c r="V30" s="42"/>
      <c r="W30" s="42"/>
      <c r="X30" s="42"/>
      <c r="Y30" s="42"/>
      <c r="Z30" s="42"/>
      <c r="AA30" s="42"/>
      <c r="AB30" s="42"/>
    </row>
    <row r="31" spans="1:28" ht="12.75">
      <c r="A31" s="42" t="s">
        <v>72</v>
      </c>
      <c r="B31" s="42">
        <v>98.07</v>
      </c>
      <c r="C31" s="42">
        <v>-10</v>
      </c>
      <c r="D31" s="42">
        <v>1.92</v>
      </c>
      <c r="E31" s="42">
        <v>20</v>
      </c>
      <c r="F31" s="42">
        <f>Mash!C$44</f>
        <v>6</v>
      </c>
      <c r="G31" s="42">
        <f t="shared" si="0"/>
        <v>10000000000000000</v>
      </c>
      <c r="H31" s="42">
        <f t="shared" si="0"/>
        <v>12022.644346174151</v>
      </c>
      <c r="I31" s="42">
        <f t="shared" si="0"/>
        <v>1E-14</v>
      </c>
      <c r="J31" s="42">
        <f>1/(1+G31+G31*H31+G31*H31*I31)</f>
        <v>8.316945937594901E-21</v>
      </c>
      <c r="K31" s="42">
        <f>J31</f>
        <v>8.316945937594901E-21</v>
      </c>
      <c r="L31" s="42">
        <f>K31*G31</f>
        <v>8.316945937594901E-05</v>
      </c>
      <c r="M31" s="42">
        <f>G31*H31*J31</f>
        <v>0.9999168305406141</v>
      </c>
      <c r="N31" s="42">
        <f>G31*H31*I31*J31</f>
        <v>9.999168305406141E-15</v>
      </c>
      <c r="O31" s="64">
        <f>L31+2*M31+3*N31</f>
        <v>1.999916830540634</v>
      </c>
      <c r="P31" s="65">
        <f>D$23/O31</f>
        <v>4.950205852972271E-07</v>
      </c>
      <c r="V31" s="42"/>
      <c r="W31" s="42"/>
      <c r="X31" s="42"/>
      <c r="Y31" s="42"/>
      <c r="Z31" s="42"/>
      <c r="AA31" s="42"/>
      <c r="AB31" s="42"/>
    </row>
    <row r="32" spans="8:28" ht="12.75">
      <c r="H32" s="37"/>
      <c r="V32" s="34"/>
      <c r="W32" s="34"/>
      <c r="X32" s="34"/>
      <c r="Y32" s="34"/>
      <c r="Z32" s="34"/>
      <c r="AA32" s="34"/>
      <c r="AB32" s="34"/>
    </row>
    <row r="33" spans="22:28" ht="12.75">
      <c r="V33" s="34"/>
      <c r="W33" s="34"/>
      <c r="X33" s="34"/>
      <c r="Y33" s="34"/>
      <c r="Z33" s="34"/>
      <c r="AA33" s="34"/>
      <c r="AB33" s="34"/>
    </row>
    <row r="34" spans="8:28" ht="12.75">
      <c r="H34" s="37"/>
      <c r="V34" s="34"/>
      <c r="W34" s="34"/>
      <c r="X34" s="34"/>
      <c r="Y34" s="34"/>
      <c r="Z34" s="34"/>
      <c r="AA34" s="34"/>
      <c r="AB34" s="34"/>
    </row>
    <row r="35" spans="8:28" ht="12.75">
      <c r="H35" s="37"/>
      <c r="V35" s="34"/>
      <c r="W35" s="34"/>
      <c r="X35" s="34"/>
      <c r="Y35" s="34"/>
      <c r="Z35" s="34"/>
      <c r="AA35" s="34"/>
      <c r="AB35" s="34"/>
    </row>
    <row r="36" spans="8:28" ht="12.75">
      <c r="H36" s="37"/>
      <c r="V36" s="34"/>
      <c r="W36" s="34"/>
      <c r="X36" s="34"/>
      <c r="Y36" s="34"/>
      <c r="Z36" s="34"/>
      <c r="AA36" s="34"/>
      <c r="AB36" s="34"/>
    </row>
    <row r="37" spans="8:28" ht="12.75">
      <c r="H37" s="37"/>
      <c r="V37" s="34"/>
      <c r="W37" s="34"/>
      <c r="X37" s="34"/>
      <c r="Y37" s="34"/>
      <c r="Z37" s="34"/>
      <c r="AA37" s="34"/>
      <c r="AB37" s="34"/>
    </row>
    <row r="38" spans="8:28" ht="12.75">
      <c r="H38" s="37"/>
      <c r="V38" s="34"/>
      <c r="W38" s="34"/>
      <c r="X38" s="34"/>
      <c r="Y38" s="34"/>
      <c r="Z38" s="34"/>
      <c r="AA38" s="34"/>
      <c r="AB38" s="34"/>
    </row>
    <row r="39" spans="8:28" ht="12.75">
      <c r="H39" s="37"/>
      <c r="V39" s="34"/>
      <c r="W39" s="34"/>
      <c r="X39" s="34"/>
      <c r="Y39" s="34"/>
      <c r="Z39" s="34"/>
      <c r="AA39" s="34"/>
      <c r="AB39" s="34"/>
    </row>
    <row r="40" spans="8:28" ht="12.75">
      <c r="H40" s="37"/>
      <c r="V40" s="34"/>
      <c r="W40" s="34"/>
      <c r="X40" s="34"/>
      <c r="Y40" s="34"/>
      <c r="Z40" s="34"/>
      <c r="AA40" s="34"/>
      <c r="AB40" s="34"/>
    </row>
    <row r="41" spans="8:28" ht="12.75">
      <c r="H41" s="37"/>
      <c r="V41" s="34"/>
      <c r="W41" s="34"/>
      <c r="X41" s="34"/>
      <c r="Y41" s="34"/>
      <c r="Z41" s="34"/>
      <c r="AA41" s="34"/>
      <c r="AB41" s="34"/>
    </row>
    <row r="42" spans="8:28" ht="12.75">
      <c r="H42" s="37"/>
      <c r="M42" s="34"/>
      <c r="N42" s="34"/>
      <c r="U42" s="34"/>
      <c r="V42" s="34"/>
      <c r="W42" s="34"/>
      <c r="X42" s="34"/>
      <c r="Y42" s="34"/>
      <c r="Z42" s="34"/>
      <c r="AA42" s="34"/>
      <c r="AB42" s="34"/>
    </row>
    <row r="43" spans="8:28" ht="12.75">
      <c r="H43" s="37"/>
      <c r="M43" s="34"/>
      <c r="N43" s="34"/>
      <c r="O43" s="34"/>
      <c r="P43" s="34"/>
      <c r="Q43" s="34"/>
      <c r="R43" s="34"/>
      <c r="S43" s="34"/>
      <c r="T43" s="34"/>
      <c r="U43" s="34"/>
      <c r="V43" s="34"/>
      <c r="W43" s="34"/>
      <c r="X43" s="34"/>
      <c r="Y43" s="34"/>
      <c r="Z43" s="34"/>
      <c r="AA43" s="34"/>
      <c r="AB43" s="34"/>
    </row>
    <row r="44" spans="8:28" ht="12.75">
      <c r="H44" s="37"/>
      <c r="M44" s="34"/>
      <c r="N44" s="34"/>
      <c r="O44" s="34"/>
      <c r="P44" s="34"/>
      <c r="Q44" s="34"/>
      <c r="R44" s="34"/>
      <c r="S44" s="34"/>
      <c r="T44" s="34"/>
      <c r="U44" s="34"/>
      <c r="V44" s="34"/>
      <c r="W44" s="34"/>
      <c r="X44" s="34"/>
      <c r="Y44" s="34"/>
      <c r="Z44" s="34"/>
      <c r="AA44" s="34"/>
      <c r="AB44" s="34"/>
    </row>
    <row r="45" spans="8:28" ht="12.75">
      <c r="H45" s="37"/>
      <c r="M45" s="34"/>
      <c r="N45" s="34"/>
      <c r="O45" s="34"/>
      <c r="P45" s="34"/>
      <c r="Q45" s="34"/>
      <c r="R45" s="34"/>
      <c r="S45" s="34"/>
      <c r="T45" s="34"/>
      <c r="U45" s="34"/>
      <c r="V45" s="34"/>
      <c r="W45" s="34"/>
      <c r="X45" s="34"/>
      <c r="Y45" s="34"/>
      <c r="Z45" s="34"/>
      <c r="AA45" s="34"/>
      <c r="AB45" s="34"/>
    </row>
  </sheetData>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Defenestrative Publishing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Palmers</dc:creator>
  <cp:keywords/>
  <dc:description/>
  <cp:lastModifiedBy>John Palmer</cp:lastModifiedBy>
  <dcterms:created xsi:type="dcterms:W3CDTF">2006-10-15T17:11:06Z</dcterms:created>
  <dcterms:modified xsi:type="dcterms:W3CDTF">2011-02-04T06:12:44Z</dcterms:modified>
  <cp:category/>
  <cp:version/>
  <cp:contentType/>
  <cp:contentStatus/>
</cp:coreProperties>
</file>